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ocuments\"/>
    </mc:Choice>
  </mc:AlternateContent>
  <xr:revisionPtr revIDLastSave="0" documentId="8_{96D9B10D-9EC3-4DDD-8E31-DB43E26F9646}" xr6:coauthVersionLast="47" xr6:coauthVersionMax="47" xr10:uidLastSave="{00000000-0000-0000-0000-000000000000}"/>
  <bookViews>
    <workbookView xWindow="-108" yWindow="-108" windowWidth="23256" windowHeight="12456" activeTab="1" xr2:uid="{E851ADD4-43E3-42B2-B6E1-A48027711775}"/>
  </bookViews>
  <sheets>
    <sheet name="BCA" sheetId="1" r:id="rId1"/>
    <sheet name="Explain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1" l="1"/>
  <c r="O38" i="1"/>
  <c r="T38" i="1"/>
  <c r="E3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7" i="1"/>
  <c r="D14" i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13" i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X27" i="1" l="1"/>
  <c r="X13" i="1"/>
  <c r="X21" i="1"/>
  <c r="X36" i="1" l="1"/>
  <c r="X31" i="1"/>
  <c r="X26" i="1"/>
  <c r="X7" i="1"/>
  <c r="X8" i="1"/>
  <c r="X9" i="1"/>
  <c r="X10" i="1"/>
  <c r="X11" i="1"/>
  <c r="X12" i="1"/>
  <c r="X14" i="1"/>
  <c r="X15" i="1"/>
  <c r="X16" i="1"/>
  <c r="X17" i="1"/>
  <c r="X18" i="1"/>
  <c r="X19" i="1"/>
  <c r="X20" i="1"/>
  <c r="X22" i="1"/>
  <c r="X23" i="1"/>
  <c r="X24" i="1"/>
  <c r="X25" i="1"/>
  <c r="X28" i="1"/>
  <c r="X29" i="1"/>
  <c r="X30" i="1"/>
  <c r="X32" i="1"/>
  <c r="X33" i="1"/>
  <c r="X34" i="1"/>
  <c r="X35" i="1"/>
  <c r="X5" i="1"/>
  <c r="X6" i="1"/>
  <c r="C8" i="1"/>
  <c r="C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L8" i="1" l="1"/>
  <c r="N8" i="1" s="1"/>
  <c r="K8" i="1"/>
  <c r="I8" i="1"/>
  <c r="G8" i="1"/>
  <c r="H8" i="1" s="1"/>
  <c r="R8" i="1"/>
  <c r="Q8" i="1"/>
  <c r="P8" i="1"/>
  <c r="J8" i="1"/>
  <c r="I7" i="1"/>
  <c r="X38" i="1"/>
  <c r="C9" i="1"/>
  <c r="C10" i="1"/>
  <c r="G7" i="1" l="1"/>
  <c r="H7" i="1" s="1"/>
  <c r="R7" i="1"/>
  <c r="K7" i="1"/>
  <c r="Q7" i="1"/>
  <c r="L7" i="1"/>
  <c r="N7" i="1" s="1"/>
  <c r="P7" i="1"/>
  <c r="J7" i="1"/>
  <c r="K10" i="1"/>
  <c r="G10" i="1"/>
  <c r="L10" i="1"/>
  <c r="P10" i="1"/>
  <c r="I10" i="1"/>
  <c r="Q10" i="1"/>
  <c r="J10" i="1"/>
  <c r="R10" i="1"/>
  <c r="X41" i="1"/>
  <c r="AA5" i="1" s="1"/>
  <c r="M8" i="1"/>
  <c r="O8" i="1" s="1"/>
  <c r="S8" i="1"/>
  <c r="T8" i="1" s="1"/>
  <c r="C11" i="1"/>
  <c r="M7" i="1" l="1"/>
  <c r="O7" i="1" s="1"/>
  <c r="S7" i="1"/>
  <c r="T7" i="1" s="1"/>
  <c r="G9" i="1"/>
  <c r="H9" i="1" s="1"/>
  <c r="J9" i="1"/>
  <c r="K9" i="1"/>
  <c r="R9" i="1"/>
  <c r="L9" i="1"/>
  <c r="N9" i="1" s="1"/>
  <c r="P9" i="1"/>
  <c r="Q9" i="1"/>
  <c r="I9" i="1"/>
  <c r="R11" i="1"/>
  <c r="P11" i="1"/>
  <c r="L11" i="1"/>
  <c r="G11" i="1"/>
  <c r="Q11" i="1"/>
  <c r="I11" i="1"/>
  <c r="J11" i="1"/>
  <c r="K11" i="1"/>
  <c r="U8" i="1"/>
  <c r="V8" i="1" s="1"/>
  <c r="H10" i="1"/>
  <c r="N10" i="1"/>
  <c r="C12" i="1"/>
  <c r="M9" i="1" l="1"/>
  <c r="O9" i="1" s="1"/>
  <c r="U7" i="1"/>
  <c r="V7" i="1" s="1"/>
  <c r="S9" i="1"/>
  <c r="T9" i="1" s="1"/>
  <c r="U9" i="1" s="1"/>
  <c r="V9" i="1" s="1"/>
  <c r="S10" i="1"/>
  <c r="M10" i="1"/>
  <c r="O10" i="1" s="1"/>
  <c r="H11" i="1"/>
  <c r="N11" i="1"/>
  <c r="C13" i="1"/>
  <c r="Q13" i="1" l="1"/>
  <c r="I13" i="1"/>
  <c r="G13" i="1"/>
  <c r="R13" i="1"/>
  <c r="P13" i="1"/>
  <c r="J13" i="1"/>
  <c r="K13" i="1"/>
  <c r="L13" i="1"/>
  <c r="L12" i="1"/>
  <c r="N12" i="1" s="1"/>
  <c r="Q12" i="1"/>
  <c r="R12" i="1"/>
  <c r="I12" i="1"/>
  <c r="G12" i="1"/>
  <c r="H12" i="1" s="1"/>
  <c r="J12" i="1"/>
  <c r="P12" i="1"/>
  <c r="K12" i="1"/>
  <c r="T10" i="1"/>
  <c r="S11" i="1"/>
  <c r="T11" i="1" s="1"/>
  <c r="M11" i="1"/>
  <c r="O11" i="1" s="1"/>
  <c r="C14" i="1"/>
  <c r="Q14" i="1" l="1"/>
  <c r="J14" i="1"/>
  <c r="P14" i="1"/>
  <c r="I14" i="1"/>
  <c r="R14" i="1"/>
  <c r="G14" i="1"/>
  <c r="L14" i="1"/>
  <c r="K14" i="1"/>
  <c r="U10" i="1"/>
  <c r="V10" i="1" s="1"/>
  <c r="U11" i="1"/>
  <c r="V11" i="1" s="1"/>
  <c r="S12" i="1"/>
  <c r="M12" i="1"/>
  <c r="H13" i="1"/>
  <c r="N13" i="1"/>
  <c r="C15" i="1"/>
  <c r="T12" i="1" l="1"/>
  <c r="O12" i="1"/>
  <c r="S13" i="1"/>
  <c r="M13" i="1"/>
  <c r="O13" i="1" s="1"/>
  <c r="H14" i="1"/>
  <c r="N14" i="1"/>
  <c r="C16" i="1"/>
  <c r="K16" i="1" l="1"/>
  <c r="I16" i="1"/>
  <c r="P16" i="1"/>
  <c r="G16" i="1"/>
  <c r="Q16" i="1"/>
  <c r="L16" i="1"/>
  <c r="R16" i="1"/>
  <c r="J16" i="1"/>
  <c r="P15" i="1"/>
  <c r="G15" i="1"/>
  <c r="H15" i="1" s="1"/>
  <c r="R15" i="1"/>
  <c r="K15" i="1"/>
  <c r="Q15" i="1"/>
  <c r="I15" i="1"/>
  <c r="L15" i="1"/>
  <c r="N15" i="1" s="1"/>
  <c r="J15" i="1"/>
  <c r="U12" i="1"/>
  <c r="V12" i="1" s="1"/>
  <c r="T13" i="1"/>
  <c r="U13" i="1" s="1"/>
  <c r="V13" i="1" s="1"/>
  <c r="S14" i="1"/>
  <c r="M14" i="1"/>
  <c r="C17" i="1"/>
  <c r="T14" i="1" l="1"/>
  <c r="O14" i="1"/>
  <c r="S15" i="1"/>
  <c r="M15" i="1"/>
  <c r="H16" i="1"/>
  <c r="N16" i="1"/>
  <c r="C18" i="1"/>
  <c r="J18" i="1" l="1"/>
  <c r="G18" i="1"/>
  <c r="L18" i="1"/>
  <c r="K18" i="1"/>
  <c r="P18" i="1"/>
  <c r="R18" i="1"/>
  <c r="Q18" i="1"/>
  <c r="I18" i="1"/>
  <c r="G17" i="1"/>
  <c r="H17" i="1" s="1"/>
  <c r="K17" i="1"/>
  <c r="Q17" i="1"/>
  <c r="P17" i="1"/>
  <c r="J17" i="1"/>
  <c r="L17" i="1"/>
  <c r="N17" i="1" s="1"/>
  <c r="R17" i="1"/>
  <c r="I17" i="1"/>
  <c r="U14" i="1"/>
  <c r="V14" i="1" s="1"/>
  <c r="T15" i="1"/>
  <c r="O15" i="1"/>
  <c r="S16" i="1"/>
  <c r="M16" i="1"/>
  <c r="C19" i="1"/>
  <c r="R19" i="1" l="1"/>
  <c r="L19" i="1"/>
  <c r="J19" i="1"/>
  <c r="P19" i="1"/>
  <c r="Q19" i="1"/>
  <c r="G19" i="1"/>
  <c r="I19" i="1"/>
  <c r="K19" i="1"/>
  <c r="U15" i="1"/>
  <c r="V15" i="1" s="1"/>
  <c r="T16" i="1"/>
  <c r="O16" i="1"/>
  <c r="S17" i="1"/>
  <c r="M17" i="1"/>
  <c r="H18" i="1"/>
  <c r="N18" i="1"/>
  <c r="C20" i="1"/>
  <c r="L20" i="1" l="1"/>
  <c r="I20" i="1"/>
  <c r="K20" i="1"/>
  <c r="R20" i="1"/>
  <c r="J20" i="1"/>
  <c r="G20" i="1"/>
  <c r="Q20" i="1"/>
  <c r="P20" i="1"/>
  <c r="U16" i="1"/>
  <c r="V16" i="1" s="1"/>
  <c r="T17" i="1"/>
  <c r="O17" i="1"/>
  <c r="S18" i="1"/>
  <c r="M18" i="1"/>
  <c r="H19" i="1"/>
  <c r="N19" i="1"/>
  <c r="C21" i="1"/>
  <c r="Q21" i="1" l="1"/>
  <c r="G21" i="1"/>
  <c r="P21" i="1"/>
  <c r="I21" i="1"/>
  <c r="R21" i="1"/>
  <c r="L21" i="1"/>
  <c r="J21" i="1"/>
  <c r="K21" i="1"/>
  <c r="U17" i="1"/>
  <c r="V17" i="1" s="1"/>
  <c r="T18" i="1"/>
  <c r="O18" i="1"/>
  <c r="S19" i="1"/>
  <c r="M19" i="1"/>
  <c r="O19" i="1" s="1"/>
  <c r="H20" i="1"/>
  <c r="N20" i="1"/>
  <c r="C22" i="1"/>
  <c r="J22" i="1" l="1"/>
  <c r="Q22" i="1"/>
  <c r="I22" i="1"/>
  <c r="R22" i="1"/>
  <c r="P22" i="1"/>
  <c r="G22" i="1"/>
  <c r="L22" i="1"/>
  <c r="K22" i="1"/>
  <c r="U18" i="1"/>
  <c r="V18" i="1" s="1"/>
  <c r="T19" i="1"/>
  <c r="U19" i="1" s="1"/>
  <c r="V19" i="1" s="1"/>
  <c r="S20" i="1"/>
  <c r="M20" i="1"/>
  <c r="H21" i="1"/>
  <c r="N21" i="1"/>
  <c r="C23" i="1"/>
  <c r="P23" i="1" l="1"/>
  <c r="K23" i="1"/>
  <c r="Q23" i="1"/>
  <c r="I23" i="1"/>
  <c r="R23" i="1"/>
  <c r="L23" i="1"/>
  <c r="J23" i="1"/>
  <c r="G23" i="1"/>
  <c r="T20" i="1"/>
  <c r="O20" i="1"/>
  <c r="S21" i="1"/>
  <c r="M21" i="1"/>
  <c r="O21" i="1" s="1"/>
  <c r="H22" i="1"/>
  <c r="N22" i="1"/>
  <c r="C24" i="1"/>
  <c r="K24" i="1" l="1"/>
  <c r="G24" i="1"/>
  <c r="P24" i="1"/>
  <c r="L24" i="1"/>
  <c r="I24" i="1"/>
  <c r="Q24" i="1"/>
  <c r="R24" i="1"/>
  <c r="J24" i="1"/>
  <c r="U20" i="1"/>
  <c r="V20" i="1" s="1"/>
  <c r="T21" i="1"/>
  <c r="U21" i="1" s="1"/>
  <c r="V21" i="1" s="1"/>
  <c r="S22" i="1"/>
  <c r="M22" i="1"/>
  <c r="H23" i="1"/>
  <c r="N23" i="1"/>
  <c r="C25" i="1"/>
  <c r="G25" i="1" l="1"/>
  <c r="K25" i="1"/>
  <c r="P25" i="1"/>
  <c r="L25" i="1"/>
  <c r="Q25" i="1"/>
  <c r="J25" i="1"/>
  <c r="I25" i="1"/>
  <c r="R25" i="1"/>
  <c r="T22" i="1"/>
  <c r="O22" i="1"/>
  <c r="S23" i="1"/>
  <c r="M23" i="1"/>
  <c r="H24" i="1"/>
  <c r="N24" i="1"/>
  <c r="C26" i="1"/>
  <c r="J26" i="1" l="1"/>
  <c r="G26" i="1"/>
  <c r="I26" i="1"/>
  <c r="L26" i="1"/>
  <c r="K26" i="1"/>
  <c r="R26" i="1"/>
  <c r="P26" i="1"/>
  <c r="Q26" i="1"/>
  <c r="U22" i="1"/>
  <c r="V22" i="1" s="1"/>
  <c r="T23" i="1"/>
  <c r="O23" i="1"/>
  <c r="S24" i="1"/>
  <c r="M24" i="1"/>
  <c r="H25" i="1"/>
  <c r="N25" i="1"/>
  <c r="C27" i="1"/>
  <c r="R27" i="1" l="1"/>
  <c r="L27" i="1"/>
  <c r="J27" i="1"/>
  <c r="G27" i="1"/>
  <c r="K27" i="1"/>
  <c r="P27" i="1"/>
  <c r="Q27" i="1"/>
  <c r="I27" i="1"/>
  <c r="U23" i="1"/>
  <c r="V23" i="1" s="1"/>
  <c r="T24" i="1"/>
  <c r="O24" i="1"/>
  <c r="S25" i="1"/>
  <c r="M25" i="1"/>
  <c r="H26" i="1"/>
  <c r="N26" i="1"/>
  <c r="C28" i="1"/>
  <c r="L28" i="1" l="1"/>
  <c r="I28" i="1"/>
  <c r="R28" i="1"/>
  <c r="J28" i="1"/>
  <c r="K28" i="1"/>
  <c r="G28" i="1"/>
  <c r="P28" i="1"/>
  <c r="Q28" i="1"/>
  <c r="T25" i="1"/>
  <c r="U24" i="1"/>
  <c r="V24" i="1" s="1"/>
  <c r="O25" i="1"/>
  <c r="S26" i="1"/>
  <c r="M26" i="1"/>
  <c r="H27" i="1"/>
  <c r="N27" i="1"/>
  <c r="C29" i="1"/>
  <c r="Q29" i="1" l="1"/>
  <c r="I29" i="1"/>
  <c r="P29" i="1"/>
  <c r="R29" i="1"/>
  <c r="G29" i="1"/>
  <c r="J29" i="1"/>
  <c r="L29" i="1"/>
  <c r="K29" i="1"/>
  <c r="U25" i="1"/>
  <c r="V25" i="1" s="1"/>
  <c r="T26" i="1"/>
  <c r="O26" i="1"/>
  <c r="S27" i="1"/>
  <c r="M27" i="1"/>
  <c r="H28" i="1"/>
  <c r="N28" i="1"/>
  <c r="C30" i="1"/>
  <c r="P30" i="1" l="1"/>
  <c r="Q30" i="1"/>
  <c r="I30" i="1"/>
  <c r="J30" i="1"/>
  <c r="R30" i="1"/>
  <c r="G30" i="1"/>
  <c r="L30" i="1"/>
  <c r="K30" i="1"/>
  <c r="T27" i="1"/>
  <c r="U26" i="1"/>
  <c r="V26" i="1" s="1"/>
  <c r="O27" i="1"/>
  <c r="S28" i="1"/>
  <c r="M28" i="1"/>
  <c r="O28" i="1" s="1"/>
  <c r="H29" i="1"/>
  <c r="N29" i="1"/>
  <c r="C31" i="1"/>
  <c r="P31" i="1" l="1"/>
  <c r="R31" i="1"/>
  <c r="K31" i="1"/>
  <c r="Q31" i="1"/>
  <c r="G31" i="1"/>
  <c r="I31" i="1"/>
  <c r="L31" i="1"/>
  <c r="J31" i="1"/>
  <c r="U27" i="1"/>
  <c r="V27" i="1" s="1"/>
  <c r="T28" i="1"/>
  <c r="U28" i="1" s="1"/>
  <c r="V28" i="1" s="1"/>
  <c r="S29" i="1"/>
  <c r="M29" i="1"/>
  <c r="O29" i="1" s="1"/>
  <c r="H30" i="1"/>
  <c r="N30" i="1"/>
  <c r="C32" i="1"/>
  <c r="K32" i="1" l="1"/>
  <c r="P32" i="1"/>
  <c r="G32" i="1"/>
  <c r="L32" i="1"/>
  <c r="I32" i="1"/>
  <c r="Q32" i="1"/>
  <c r="R32" i="1"/>
  <c r="J32" i="1"/>
  <c r="T29" i="1"/>
  <c r="S30" i="1"/>
  <c r="M30" i="1"/>
  <c r="O30" i="1" s="1"/>
  <c r="H31" i="1"/>
  <c r="N31" i="1"/>
  <c r="C33" i="1"/>
  <c r="G33" i="1" l="1"/>
  <c r="R33" i="1"/>
  <c r="K33" i="1"/>
  <c r="J33" i="1"/>
  <c r="P33" i="1"/>
  <c r="Q33" i="1"/>
  <c r="L33" i="1"/>
  <c r="I33" i="1"/>
  <c r="T30" i="1"/>
  <c r="U30" i="1" s="1"/>
  <c r="V30" i="1" s="1"/>
  <c r="U29" i="1"/>
  <c r="V29" i="1" s="1"/>
  <c r="S31" i="1"/>
  <c r="M31" i="1"/>
  <c r="O31" i="1" s="1"/>
  <c r="H32" i="1"/>
  <c r="N32" i="1"/>
  <c r="C34" i="1"/>
  <c r="J34" i="1" l="1"/>
  <c r="G34" i="1"/>
  <c r="R34" i="1"/>
  <c r="L34" i="1"/>
  <c r="K34" i="1"/>
  <c r="P34" i="1"/>
  <c r="I34" i="1"/>
  <c r="Q34" i="1"/>
  <c r="T31" i="1"/>
  <c r="S32" i="1"/>
  <c r="M32" i="1"/>
  <c r="O32" i="1" s="1"/>
  <c r="H33" i="1"/>
  <c r="N33" i="1"/>
  <c r="C35" i="1"/>
  <c r="R35" i="1" l="1"/>
  <c r="L35" i="1"/>
  <c r="J35" i="1"/>
  <c r="G35" i="1"/>
  <c r="P35" i="1"/>
  <c r="K35" i="1"/>
  <c r="I35" i="1"/>
  <c r="Q35" i="1"/>
  <c r="T32" i="1"/>
  <c r="U32" i="1" s="1"/>
  <c r="V32" i="1" s="1"/>
  <c r="U31" i="1"/>
  <c r="V31" i="1" s="1"/>
  <c r="S33" i="1"/>
  <c r="M33" i="1"/>
  <c r="O33" i="1" s="1"/>
  <c r="H34" i="1"/>
  <c r="N34" i="1"/>
  <c r="C36" i="1"/>
  <c r="F38" i="1" l="1"/>
  <c r="C38" i="1"/>
  <c r="T33" i="1"/>
  <c r="S34" i="1"/>
  <c r="M34" i="1"/>
  <c r="O34" i="1" s="1"/>
  <c r="H35" i="1"/>
  <c r="N35" i="1"/>
  <c r="L36" i="1" l="1"/>
  <c r="N36" i="1" s="1"/>
  <c r="I36" i="1"/>
  <c r="R36" i="1"/>
  <c r="J36" i="1"/>
  <c r="Q36" i="1"/>
  <c r="G36" i="1"/>
  <c r="H36" i="1" s="1"/>
  <c r="K36" i="1"/>
  <c r="M36" i="1" s="1"/>
  <c r="O36" i="1" s="1"/>
  <c r="P36" i="1"/>
  <c r="S36" i="1" s="1"/>
  <c r="T36" i="1" s="1"/>
  <c r="U33" i="1"/>
  <c r="V33" i="1" s="1"/>
  <c r="T34" i="1"/>
  <c r="U34" i="1" s="1"/>
  <c r="V34" i="1" s="1"/>
  <c r="S35" i="1"/>
  <c r="M35" i="1"/>
  <c r="O35" i="1" s="1"/>
  <c r="T35" i="1" l="1"/>
  <c r="U35" i="1" s="1"/>
  <c r="V35" i="1" s="1"/>
  <c r="U36" i="1"/>
  <c r="V36" i="1" s="1"/>
  <c r="V38" i="1" l="1"/>
  <c r="U38" i="1"/>
  <c r="Z5" i="1" l="1"/>
  <c r="AB5" i="1"/>
  <c r="Y5" i="1"/>
</calcChain>
</file>

<file path=xl/sharedStrings.xml><?xml version="1.0" encoding="utf-8"?>
<sst xmlns="http://schemas.openxmlformats.org/spreadsheetml/2006/main" count="75" uniqueCount="75">
  <si>
    <t>Year</t>
  </si>
  <si>
    <t>NPV</t>
  </si>
  <si>
    <t>BCR</t>
  </si>
  <si>
    <t>Residual value</t>
  </si>
  <si>
    <t xml:space="preserve">Residual value </t>
  </si>
  <si>
    <t>Discounted benefits</t>
  </si>
  <si>
    <t>Construction Costs and maint costs</t>
  </si>
  <si>
    <t>Driver time and truck operation cost savings</t>
  </si>
  <si>
    <t>Total avoided crashes at 7% discount rate</t>
  </si>
  <si>
    <t>ADA CRISI</t>
  </si>
  <si>
    <t>Emissions savings Nox</t>
  </si>
  <si>
    <t>Emission savings SO2</t>
  </si>
  <si>
    <t>Emissions savings PM2.5</t>
  </si>
  <si>
    <t>Emissions savings CO2</t>
  </si>
  <si>
    <t>Emissions savings except CO2</t>
  </si>
  <si>
    <t>Emissions savings total except CO2 discounted 7%</t>
  </si>
  <si>
    <t>Emissions savings CO2 discounted 3%</t>
  </si>
  <si>
    <t>Drive time and truck operation cost savings discounted 7%</t>
  </si>
  <si>
    <t xml:space="preserve">Total benefit not accounting for rail transportation </t>
  </si>
  <si>
    <t>Total discounted benefit reduced by 25% to account for costs assoicated with rail transportation</t>
  </si>
  <si>
    <t>Baseline</t>
  </si>
  <si>
    <t>Avoided truck crashes resulting in fatalities 2020 dollars 2020 Texas data KABCO level K</t>
  </si>
  <si>
    <t>Avoided Truck crashes resulting in injury -  KABCO A level  - 2020 dollars 2020 data</t>
  </si>
  <si>
    <t>Avoided Truck crashes non incapacitating KABC) Level B 2020 dollars 2020 Texas data</t>
  </si>
  <si>
    <t>column B</t>
  </si>
  <si>
    <t>Tons of ag product - initial starting volume and 4% annual growth</t>
  </si>
  <si>
    <t>column C</t>
  </si>
  <si>
    <t>Tons of ag product divided by 22 tons to get number of truckloads</t>
  </si>
  <si>
    <t>Column D</t>
  </si>
  <si>
    <t>number of truckloads times miles per truck trip  to get total miles of trucking</t>
  </si>
  <si>
    <t>Column E</t>
  </si>
  <si>
    <t>Trucking cost - operation and drivers time - assuming average speed of 50 mph - cost as presented in March 2022 BCA Guidance for Discretionary Grants</t>
  </si>
  <si>
    <t>Column F</t>
  </si>
  <si>
    <t>Column E discounted 7%</t>
  </si>
  <si>
    <t>Column G</t>
  </si>
  <si>
    <t>Column H</t>
  </si>
  <si>
    <t>Column I</t>
  </si>
  <si>
    <t>Column J</t>
  </si>
  <si>
    <t>Column K</t>
  </si>
  <si>
    <t>Column L</t>
  </si>
  <si>
    <t>Column M</t>
  </si>
  <si>
    <t>CO2 emissions savings assuming a 2013 model truck</t>
  </si>
  <si>
    <t>NOX emissions savings assuming a 2013 model truck</t>
  </si>
  <si>
    <t xml:space="preserve">SO2 emissions savings assuming a 2013 model truck </t>
  </si>
  <si>
    <t>PM 2.5 emissions savings assuming a 2013 model truck</t>
  </si>
  <si>
    <t>total emissions savings except CO2</t>
  </si>
  <si>
    <t>CO2 emissions savings discounted 3%</t>
  </si>
  <si>
    <t>Emissions savings except CO2 discounted 7%</t>
  </si>
  <si>
    <t>Column N</t>
  </si>
  <si>
    <t>Savings related to avoided fatalities based on avoided truck miles</t>
  </si>
  <si>
    <t>Column O</t>
  </si>
  <si>
    <t>Column P</t>
  </si>
  <si>
    <t xml:space="preserve">Column Q </t>
  </si>
  <si>
    <t>Column R</t>
  </si>
  <si>
    <t>Column S</t>
  </si>
  <si>
    <t>Savings related to avoided injuries based on avoided truck miles</t>
  </si>
  <si>
    <t>Savings related to avoided non incapacitiating injuries based on avoided truck miles</t>
  </si>
  <si>
    <t>Total avoided crashes 2020 dollars</t>
  </si>
  <si>
    <t>total savings avoided crashes</t>
  </si>
  <si>
    <t>total savings avoided crashes discounted 7%</t>
  </si>
  <si>
    <t>Total savings including discounting</t>
  </si>
  <si>
    <t>Total savings (column S) discounted 25% to account for the costts of rail transportation</t>
  </si>
  <si>
    <t>Column T</t>
  </si>
  <si>
    <t>Tons of Ag Product cocoa to Ardmore</t>
  </si>
  <si>
    <t>The baseline is the no build alternative.  In the no build case the international agricultural goods still arrive at the gulf coast(Freeport) and</t>
  </si>
  <si>
    <t xml:space="preserve">are trucked to ADA 410 miles one way </t>
  </si>
  <si>
    <t>Tons of ag product cashews to Ardmore</t>
  </si>
  <si>
    <t>truckloads cashews into Ardmore</t>
  </si>
  <si>
    <t>Truckloads cacao into ADA</t>
  </si>
  <si>
    <t>Discounted Construction and maint Costs at 7% (2020)</t>
  </si>
  <si>
    <t>Miles saved assuming a 376 mile one way truck haul Greensport Terminal, Houston Tx</t>
  </si>
  <si>
    <t>Column U</t>
  </si>
  <si>
    <t>Total discounted benefits for modal shift to real</t>
  </si>
  <si>
    <t>Column V</t>
  </si>
  <si>
    <t>Column U discounted 25% because rail transportation also burns fuel and produces emissions - though less than trucks.  Trucking causes more crashes than rail, but it can still happen with rail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</si>
</sst>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164" fontId="0" fillId="2" borderId="0" xfId="0" applyNumberFormat="1" applyFill="1"/>
    <xf numFmtId="3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457D-0A82-48B7-B9EE-5C066C10360B}">
  <sheetPr>
    <pageSetUpPr fitToPage="1"/>
  </sheetPr>
  <dimension ref="A1:AD41"/>
  <sheetViews>
    <sheetView topLeftCell="N1" zoomScaleNormal="100" workbookViewId="0">
      <selection activeCell="V7" sqref="V7"/>
    </sheetView>
  </sheetViews>
  <sheetFormatPr defaultRowHeight="14.4" x14ac:dyDescent="0.3"/>
  <cols>
    <col min="2" max="2" width="17.88671875" customWidth="1"/>
    <col min="3" max="3" width="18.6640625" style="2" customWidth="1"/>
    <col min="4" max="4" width="18.6640625" style="1" customWidth="1"/>
    <col min="5" max="5" width="18.6640625" style="2" customWidth="1"/>
    <col min="6" max="6" width="14.33203125" style="1" customWidth="1"/>
    <col min="7" max="13" width="14.33203125" customWidth="1"/>
    <col min="14" max="14" width="14.33203125" style="9" customWidth="1"/>
    <col min="15" max="22" width="14.33203125" customWidth="1"/>
    <col min="23" max="23" width="20" style="5" customWidth="1"/>
    <col min="24" max="24" width="19.109375" style="5" customWidth="1"/>
    <col min="25" max="25" width="12.109375" bestFit="1" customWidth="1"/>
    <col min="26" max="26" width="12.109375" style="7" bestFit="1" customWidth="1"/>
    <col min="27" max="27" width="10.109375" bestFit="1" customWidth="1"/>
    <col min="28" max="28" width="14.109375" customWidth="1"/>
    <col min="29" max="29" width="18.109375" customWidth="1"/>
    <col min="30" max="30" width="11.109375" bestFit="1" customWidth="1"/>
  </cols>
  <sheetData>
    <row r="1" spans="1:30" x14ac:dyDescent="0.3">
      <c r="A1" t="s">
        <v>9</v>
      </c>
    </row>
    <row r="4" spans="1:30" s="3" customFormat="1" ht="129.6" x14ac:dyDescent="0.3">
      <c r="A4" s="3" t="s">
        <v>0</v>
      </c>
      <c r="B4" s="3" t="s">
        <v>63</v>
      </c>
      <c r="C4" s="4" t="s">
        <v>68</v>
      </c>
      <c r="D4" s="13" t="s">
        <v>66</v>
      </c>
      <c r="E4" s="4" t="s">
        <v>67</v>
      </c>
      <c r="F4" s="13" t="s">
        <v>70</v>
      </c>
      <c r="G4" s="3" t="s">
        <v>7</v>
      </c>
      <c r="H4" s="3" t="s">
        <v>17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10" t="s">
        <v>16</v>
      </c>
      <c r="O4" s="3" t="s">
        <v>15</v>
      </c>
      <c r="P4" s="3" t="s">
        <v>21</v>
      </c>
      <c r="Q4" s="3" t="s">
        <v>22</v>
      </c>
      <c r="R4" s="3" t="s">
        <v>23</v>
      </c>
      <c r="S4" s="3" t="s">
        <v>57</v>
      </c>
      <c r="T4" s="3" t="s">
        <v>8</v>
      </c>
      <c r="U4" s="3" t="s">
        <v>18</v>
      </c>
      <c r="V4" s="3" t="s">
        <v>19</v>
      </c>
      <c r="W4" s="6" t="s">
        <v>6</v>
      </c>
      <c r="X4" s="6" t="s">
        <v>69</v>
      </c>
      <c r="Y4" s="3" t="s">
        <v>1</v>
      </c>
      <c r="Z4" s="8" t="s">
        <v>2</v>
      </c>
      <c r="AA4" s="3" t="s">
        <v>4</v>
      </c>
      <c r="AB4" s="3" t="s">
        <v>5</v>
      </c>
    </row>
    <row r="5" spans="1:30" x14ac:dyDescent="0.3">
      <c r="A5">
        <v>2022</v>
      </c>
      <c r="W5" s="11">
        <v>13000000</v>
      </c>
      <c r="X5" s="11">
        <f>W5/(1+0.07)^2</f>
        <v>11354703.467551751</v>
      </c>
      <c r="Y5" s="12">
        <f>V38-X38</f>
        <v>468818300.53337222</v>
      </c>
      <c r="Z5" s="7">
        <f>SUM(V38+AA5)/X38</f>
        <v>19.781807078397538</v>
      </c>
      <c r="AA5" s="5">
        <f>X41</f>
        <v>1073137.7797324422</v>
      </c>
      <c r="AB5" s="5">
        <f>V38</f>
        <v>493836736.53112906</v>
      </c>
      <c r="AD5" s="5"/>
    </row>
    <row r="6" spans="1:30" x14ac:dyDescent="0.3">
      <c r="A6">
        <f>SUM(A5+1)</f>
        <v>2023</v>
      </c>
      <c r="W6" s="11">
        <v>16738659.890000001</v>
      </c>
      <c r="X6" s="11">
        <f>W6/(1+0.07)^3</f>
        <v>13663732.530205062</v>
      </c>
    </row>
    <row r="7" spans="1:30" x14ac:dyDescent="0.3">
      <c r="A7">
        <f t="shared" ref="A7:A36" si="0">SUM(A6+1)</f>
        <v>2024</v>
      </c>
      <c r="B7" s="1">
        <v>70548</v>
      </c>
      <c r="C7" s="2">
        <f>SUM(B7*2000)/44000</f>
        <v>3206.7272727272725</v>
      </c>
      <c r="D7" s="1">
        <v>37000</v>
      </c>
      <c r="E7" s="2">
        <f>SUM(D7/22)</f>
        <v>1681.8181818181818</v>
      </c>
      <c r="F7" s="1">
        <f>SUM(C7+E7)*(752)</f>
        <v>3676186.1818181816</v>
      </c>
      <c r="G7" s="5">
        <f>SUM(F7/50*32)+(F7*0.94)</f>
        <v>5808374.167272727</v>
      </c>
      <c r="H7" s="5">
        <f>G7/(1+0.07)^4</f>
        <v>4431180.8419928951</v>
      </c>
      <c r="I7" s="5">
        <f>SUM(F7*0.8924/453/2203*16400)</f>
        <v>53912.34329059063</v>
      </c>
      <c r="J7" s="5">
        <f>SUM(F7*0.0066/453/2203*44000)</f>
        <v>1069.7478225057341</v>
      </c>
      <c r="K7" s="5">
        <f>SUM(F7*0.0116/453/2203*788100)</f>
        <v>33676.280314857162</v>
      </c>
      <c r="L7" s="5">
        <f>SUM(F7/6*10180/453/2203*55)</f>
        <v>343751.03639862279</v>
      </c>
      <c r="M7" s="5">
        <f>SUM(I7+J7+K7)</f>
        <v>88658.371427953534</v>
      </c>
      <c r="N7" s="11">
        <f>(L7)/((1+0.03)^4)</f>
        <v>305418.34354777093</v>
      </c>
      <c r="O7" s="5">
        <f>(M7)/((1+0.07)^4)</f>
        <v>67637.047070316868</v>
      </c>
      <c r="P7" s="5">
        <f>SUM(581/29063065140)*F7*11600000</f>
        <v>852491.788860981</v>
      </c>
      <c r="Q7" s="5">
        <f>SUM(1245/29063065140)*F7*554800</f>
        <v>87369.909690900036</v>
      </c>
      <c r="R7" s="5">
        <f>SUM(50161/45725660710)*F7*3900</f>
        <v>15727.811727405635</v>
      </c>
      <c r="S7" s="5">
        <f>+SUM(P7+Q7+R7)</f>
        <v>955589.51027928665</v>
      </c>
      <c r="T7" s="5">
        <f>SUM(S7)/(1+0.07)^4</f>
        <v>729014.66207490722</v>
      </c>
      <c r="U7" s="5">
        <f>SUM(H7+N7+O7+T7)</f>
        <v>5533250.8946858905</v>
      </c>
      <c r="V7" s="5">
        <f>SUM(U7*0.75)</f>
        <v>4149938.1710144179</v>
      </c>
      <c r="X7" s="5">
        <f t="shared" ref="X7:X35" si="1">W7/(1+0.07)^3</f>
        <v>0</v>
      </c>
    </row>
    <row r="8" spans="1:30" x14ac:dyDescent="0.3">
      <c r="A8">
        <f t="shared" si="0"/>
        <v>2025</v>
      </c>
      <c r="B8" s="1">
        <v>150000</v>
      </c>
      <c r="C8" s="2">
        <f t="shared" ref="C8:C36" si="2">SUM(B8*2000)/44000</f>
        <v>6818.181818181818</v>
      </c>
      <c r="D8" s="1">
        <v>45000</v>
      </c>
      <c r="E8" s="2">
        <f t="shared" ref="E8:E36" si="3">SUM(D8/22)</f>
        <v>2045.4545454545455</v>
      </c>
      <c r="F8" s="1">
        <f t="shared" ref="F8:F36" si="4">SUM(C8+E8)*(752)</f>
        <v>6665454.5454545459</v>
      </c>
      <c r="G8" s="5">
        <f t="shared" ref="G8:G36" si="5">SUM(F8/50*32)+(F8*0.94)</f>
        <v>10531418.181818182</v>
      </c>
      <c r="H8" s="5">
        <f t="shared" ref="H8:H36" si="6">G8/(1+0.07)^4</f>
        <v>8034368.5069793444</v>
      </c>
      <c r="I8" s="5">
        <f>SUM(F8*0.8924/453/2203*16200)</f>
        <v>96558.75292380841</v>
      </c>
      <c r="J8" s="5">
        <f>SUM(F8*0.0066/453/2203*44900)</f>
        <v>1979.2805115240205</v>
      </c>
      <c r="K8" s="5">
        <f>SUM(F8*0.0116/453/2203*801700)</f>
        <v>62113.634874232856</v>
      </c>
      <c r="L8" s="5">
        <f>SUM(F8/6*10180/453/2203*56)</f>
        <v>634602.27779443318</v>
      </c>
      <c r="M8" s="5">
        <f t="shared" ref="M8:M36" si="7">SUM(I8+J8+K8)</f>
        <v>160651.66830956528</v>
      </c>
      <c r="N8" s="11">
        <f>(L8)/((1+0.03)^5)</f>
        <v>547413.49941567762</v>
      </c>
      <c r="O8" s="5">
        <f>(M8)/((1+0.07)^5)</f>
        <v>114542.41921571447</v>
      </c>
      <c r="P8" s="5">
        <f t="shared" ref="P8:P36" si="8">SUM(581/29063065140)*F8*11600000</f>
        <v>1545690.2855273117</v>
      </c>
      <c r="Q8" s="5">
        <f t="shared" ref="Q8:Q36" si="9">SUM(1245/29063065140)*F8*554800</f>
        <v>158414.2186719001</v>
      </c>
      <c r="R8" s="5">
        <f t="shared" ref="R8:R36" si="10">SUM(50161/45725660710)*F8*3900</f>
        <v>28516.785870905078</v>
      </c>
      <c r="S8" s="5">
        <f t="shared" ref="S8:S36" si="11">+SUM(P8+Q8+R8)</f>
        <v>1732621.290070117</v>
      </c>
      <c r="T8" s="5">
        <f>SUM(S8)/(1+0.07)^5</f>
        <v>1235335.0340991574</v>
      </c>
      <c r="U8" s="5">
        <f>SUM(H8+N8+O8+T8)</f>
        <v>9931659.4597098939</v>
      </c>
      <c r="V8" s="5">
        <f t="shared" ref="V8:V36" si="12">SUM(U8*0.75)</f>
        <v>7448744.5947824204</v>
      </c>
      <c r="X8" s="5">
        <f t="shared" si="1"/>
        <v>0</v>
      </c>
    </row>
    <row r="9" spans="1:30" x14ac:dyDescent="0.3">
      <c r="A9">
        <f t="shared" si="0"/>
        <v>2026</v>
      </c>
      <c r="B9" s="1">
        <v>211584</v>
      </c>
      <c r="C9" s="2">
        <f t="shared" si="2"/>
        <v>9617.454545454546</v>
      </c>
      <c r="D9" s="1">
        <v>53000</v>
      </c>
      <c r="E9" s="2">
        <f t="shared" si="3"/>
        <v>2409.090909090909</v>
      </c>
      <c r="F9" s="1">
        <f t="shared" si="4"/>
        <v>9043962.1818181835</v>
      </c>
      <c r="G9" s="5">
        <f t="shared" si="5"/>
        <v>14289460.24727273</v>
      </c>
      <c r="H9" s="5">
        <f t="shared" si="6"/>
        <v>10901360.805387812</v>
      </c>
      <c r="I9" s="5">
        <f>SUM(F9*0.8924/453/2203*16500)</f>
        <v>133441.07878419856</v>
      </c>
      <c r="J9" s="5">
        <f>SUM(F9*0.0066/453/2203*45700)</f>
        <v>2733.4187810120466</v>
      </c>
      <c r="K9" s="5">
        <f>SUM(F9*0.0116/453/2203*769000)</f>
        <v>80840.75623015668</v>
      </c>
      <c r="L9" s="5">
        <f>SUM(F9/6*10180/453/2203*57)</f>
        <v>876430.37700309989</v>
      </c>
      <c r="M9" s="5">
        <f t="shared" si="7"/>
        <v>217015.25379536726</v>
      </c>
      <c r="N9" s="11">
        <f>(L9)/((1+0.03)^6)</f>
        <v>733996.64281941613</v>
      </c>
      <c r="O9" s="5">
        <f>(M9)/((1+0.07)^6)</f>
        <v>144606.42681610989</v>
      </c>
      <c r="P9" s="5">
        <f t="shared" si="8"/>
        <v>2097255.9923382476</v>
      </c>
      <c r="Q9" s="5">
        <f t="shared" si="9"/>
        <v>214942.91093890264</v>
      </c>
      <c r="R9" s="5">
        <f t="shared" si="10"/>
        <v>38692.744989064355</v>
      </c>
      <c r="S9" s="5">
        <f t="shared" si="11"/>
        <v>2350891.6482662149</v>
      </c>
      <c r="T9" s="5">
        <f>SUM(S9)/(1+0.07)^6</f>
        <v>1566498.3688573763</v>
      </c>
      <c r="U9" s="5">
        <f t="shared" ref="U9:U36" si="13">SUM(H9+N9+O9+T9)</f>
        <v>13346462.243880713</v>
      </c>
      <c r="V9" s="5">
        <f t="shared" si="12"/>
        <v>10009846.682910535</v>
      </c>
      <c r="X9" s="5">
        <f t="shared" si="1"/>
        <v>0</v>
      </c>
    </row>
    <row r="10" spans="1:30" x14ac:dyDescent="0.3">
      <c r="A10">
        <f t="shared" si="0"/>
        <v>2027</v>
      </c>
      <c r="B10" s="1">
        <f>+SUM(B9*0.04)+B9</f>
        <v>220047.35999999999</v>
      </c>
      <c r="C10" s="2">
        <f t="shared" si="2"/>
        <v>10002.152727272727</v>
      </c>
      <c r="D10" s="1">
        <v>61000</v>
      </c>
      <c r="E10" s="2">
        <f t="shared" si="3"/>
        <v>2772.7272727272725</v>
      </c>
      <c r="F10" s="1">
        <f t="shared" si="4"/>
        <v>9606709.7599999998</v>
      </c>
      <c r="G10" s="5">
        <f t="shared" si="5"/>
        <v>15178601.4208</v>
      </c>
      <c r="H10" s="5">
        <f t="shared" si="6"/>
        <v>11579682.349506084</v>
      </c>
      <c r="I10" s="5">
        <f>SUM(F10*0.8924/453/2203*17100)</f>
        <v>146898.59523887292</v>
      </c>
      <c r="J10" s="5">
        <f>SUM(F10*0.0066/453/2203*46500)</f>
        <v>2954.329010855155</v>
      </c>
      <c r="K10" s="5">
        <f>SUM(F10*0.0116/453/2203*814500)</f>
        <v>90951.747671429373</v>
      </c>
      <c r="L10" s="5">
        <f>SUM(F10/6*10180/453/2203*58)</f>
        <v>947297.71976176708</v>
      </c>
      <c r="M10" s="5">
        <f t="shared" si="7"/>
        <v>240804.67192115745</v>
      </c>
      <c r="N10" s="11">
        <f>(L10)/((1+0.03)^7)</f>
        <v>770239.73465320794</v>
      </c>
      <c r="O10" s="5">
        <f>(M10)/((1+0.07)^7)</f>
        <v>149961.04728350445</v>
      </c>
      <c r="P10" s="5">
        <f t="shared" si="8"/>
        <v>2227754.7391030621</v>
      </c>
      <c r="Q10" s="5">
        <f t="shared" si="9"/>
        <v>228317.42535487292</v>
      </c>
      <c r="R10" s="5">
        <f t="shared" si="10"/>
        <v>41100.345562580369</v>
      </c>
      <c r="S10" s="5">
        <f t="shared" si="11"/>
        <v>2497172.5100205154</v>
      </c>
      <c r="T10" s="5">
        <f>SUM(S10)/(1+0.07)^7</f>
        <v>1555113.5360565726</v>
      </c>
      <c r="U10" s="5">
        <f t="shared" si="13"/>
        <v>14054996.667499369</v>
      </c>
      <c r="V10" s="5">
        <f t="shared" si="12"/>
        <v>10541247.500624526</v>
      </c>
      <c r="X10" s="5">
        <f t="shared" si="1"/>
        <v>0</v>
      </c>
    </row>
    <row r="11" spans="1:30" x14ac:dyDescent="0.3">
      <c r="A11">
        <f t="shared" si="0"/>
        <v>2028</v>
      </c>
      <c r="B11" s="1">
        <f>+SUM(B10*0.04)+B10</f>
        <v>228849.25439999998</v>
      </c>
      <c r="C11" s="2">
        <f t="shared" si="2"/>
        <v>10402.238836363635</v>
      </c>
      <c r="D11" s="1">
        <v>69000</v>
      </c>
      <c r="E11" s="2">
        <f t="shared" si="3"/>
        <v>3136.3636363636365</v>
      </c>
      <c r="F11" s="1">
        <f t="shared" si="4"/>
        <v>10181029.059490908</v>
      </c>
      <c r="G11" s="5">
        <f t="shared" si="5"/>
        <v>16086025.913995635</v>
      </c>
      <c r="H11" s="5">
        <f t="shared" si="6"/>
        <v>12271952.150659686</v>
      </c>
      <c r="I11" s="5">
        <f>SUM(F11*0.8924/453/2203*17400)</f>
        <v>158411.89446540442</v>
      </c>
      <c r="J11" s="5">
        <f>SUM(F11*0.0066/453/2203*47300)</f>
        <v>3184.8138568737509</v>
      </c>
      <c r="K11" s="5">
        <f>SUM(F11*0.0116/453/2203*827400)</f>
        <v>97915.73396135935</v>
      </c>
      <c r="L11" s="5">
        <f>SUM(F11/6*10180/453/2203*60)</f>
        <v>1038548.4356132608</v>
      </c>
      <c r="M11" s="5">
        <f t="shared" si="7"/>
        <v>259512.44228363753</v>
      </c>
      <c r="N11" s="11">
        <f>(L11)/((1+0.03)^8)</f>
        <v>819839.72535540012</v>
      </c>
      <c r="O11" s="5">
        <f>(M11)/((1+0.07)^8)</f>
        <v>151038.60415698611</v>
      </c>
      <c r="P11" s="5">
        <f t="shared" si="8"/>
        <v>2360936.9183468348</v>
      </c>
      <c r="Q11" s="5">
        <f t="shared" si="9"/>
        <v>241966.95855273842</v>
      </c>
      <c r="R11" s="5">
        <f t="shared" si="10"/>
        <v>43557.453382223226</v>
      </c>
      <c r="S11" s="5">
        <f t="shared" si="11"/>
        <v>2646461.3302817964</v>
      </c>
      <c r="T11" s="5">
        <f>SUM(S11)/(1+0.07)^8</f>
        <v>1540264.5891033087</v>
      </c>
      <c r="U11" s="5">
        <f t="shared" si="13"/>
        <v>14783095.069275381</v>
      </c>
      <c r="V11" s="5">
        <f t="shared" si="12"/>
        <v>11087321.301956536</v>
      </c>
      <c r="X11" s="5">
        <f t="shared" si="1"/>
        <v>0</v>
      </c>
    </row>
    <row r="12" spans="1:30" x14ac:dyDescent="0.3">
      <c r="A12">
        <f t="shared" si="0"/>
        <v>2029</v>
      </c>
      <c r="B12" s="1">
        <f t="shared" ref="B12:B36" si="14">+SUM(B11*0.04)+B11</f>
        <v>238003.22457599998</v>
      </c>
      <c r="C12" s="2">
        <f t="shared" si="2"/>
        <v>10818.32838981818</v>
      </c>
      <c r="D12" s="1">
        <v>77140</v>
      </c>
      <c r="E12" s="2">
        <f t="shared" si="3"/>
        <v>3506.3636363636365</v>
      </c>
      <c r="F12" s="1">
        <f t="shared" si="4"/>
        <v>10772168.403688725</v>
      </c>
      <c r="G12" s="5">
        <f t="shared" si="5"/>
        <v>17020026.077828184</v>
      </c>
      <c r="H12" s="5">
        <f t="shared" si="6"/>
        <v>12984496.403699141</v>
      </c>
      <c r="I12" s="5">
        <f>SUM(F12*0.8924/453/2203*17700)</f>
        <v>170499.56017942337</v>
      </c>
      <c r="J12" s="5">
        <f>SUM(F12*0.0066/453/2203*48200)</f>
        <v>3433.8507018639621</v>
      </c>
      <c r="K12" s="5">
        <f>SUM(F12*0.0116/453/2203*854000)</f>
        <v>106931.65658539276</v>
      </c>
      <c r="L12" s="5">
        <f>SUM(F12/6*10180/453/2203*61)</f>
        <v>1117163.6535707086</v>
      </c>
      <c r="M12" s="5">
        <f t="shared" si="7"/>
        <v>280865.06746668008</v>
      </c>
      <c r="N12" s="11">
        <f>(L12)/((1+0.03)^9)</f>
        <v>856212.91686273017</v>
      </c>
      <c r="O12" s="5">
        <f>(M12)/((1+0.07)^9)</f>
        <v>152771.98730830054</v>
      </c>
      <c r="P12" s="5">
        <f t="shared" si="8"/>
        <v>2498019.593727564</v>
      </c>
      <c r="Q12" s="5">
        <f t="shared" si="9"/>
        <v>256016.24456897521</v>
      </c>
      <c r="R12" s="5">
        <f t="shared" si="10"/>
        <v>46086.522327694045</v>
      </c>
      <c r="S12" s="5">
        <f t="shared" si="11"/>
        <v>2800122.3606242333</v>
      </c>
      <c r="T12" s="5">
        <f>SUM(S12)/(1+0.07)^9</f>
        <v>1523081.0353078987</v>
      </c>
      <c r="U12" s="5">
        <f t="shared" si="13"/>
        <v>15516562.343178071</v>
      </c>
      <c r="V12" s="5">
        <f t="shared" si="12"/>
        <v>11637421.757383553</v>
      </c>
      <c r="X12" s="5">
        <f t="shared" si="1"/>
        <v>0</v>
      </c>
    </row>
    <row r="13" spans="1:30" x14ac:dyDescent="0.3">
      <c r="A13">
        <f t="shared" si="0"/>
        <v>2030</v>
      </c>
      <c r="B13" s="1">
        <f t="shared" si="14"/>
        <v>247523.35355903997</v>
      </c>
      <c r="C13" s="2">
        <f t="shared" si="2"/>
        <v>11251.061525410909</v>
      </c>
      <c r="D13" s="1">
        <f>SUM(D12*0.04)+D12</f>
        <v>80225.600000000006</v>
      </c>
      <c r="E13" s="2">
        <f t="shared" si="3"/>
        <v>3646.6181818181822</v>
      </c>
      <c r="F13" s="1">
        <f t="shared" si="4"/>
        <v>11203055.139836276</v>
      </c>
      <c r="G13" s="5">
        <f t="shared" si="5"/>
        <v>17700827.120941315</v>
      </c>
      <c r="H13" s="5">
        <f t="shared" si="6"/>
        <v>13503876.25984711</v>
      </c>
      <c r="I13" s="5">
        <f>SUM(F13*0.8924/453/2203*18100)</f>
        <v>181326.76388799242</v>
      </c>
      <c r="J13" s="5">
        <f>SUM(F13*0.0066/453/2203*49100)</f>
        <v>3637.8869759332233</v>
      </c>
      <c r="K13" s="5">
        <f>SUM(F13*0.0116/453/2203*867600)</f>
        <v>112979.93145623684</v>
      </c>
      <c r="L13" s="5">
        <f>SUM(F13/6*10180/453/2203*62)</f>
        <v>1180896.924299005</v>
      </c>
      <c r="M13" s="5">
        <f t="shared" si="7"/>
        <v>297944.58232016244</v>
      </c>
      <c r="N13" s="11">
        <f>(L13)/((1+0.03)^10)</f>
        <v>878698.21549114829</v>
      </c>
      <c r="O13" s="5">
        <f>(M13)/((1+0.07)^10)</f>
        <v>151459.91751782873</v>
      </c>
      <c r="P13" s="5">
        <f t="shared" si="8"/>
        <v>2597940.3774766671</v>
      </c>
      <c r="Q13" s="5">
        <f t="shared" si="9"/>
        <v>266256.89435173426</v>
      </c>
      <c r="R13" s="5">
        <f t="shared" si="10"/>
        <v>47929.98322080182</v>
      </c>
      <c r="S13" s="5">
        <f t="shared" si="11"/>
        <v>2912127.2550492031</v>
      </c>
      <c r="T13" s="5">
        <f>SUM(S13)/(1+0.07)^10</f>
        <v>1480377.8287104811</v>
      </c>
      <c r="U13" s="5">
        <f t="shared" si="13"/>
        <v>16014412.221566567</v>
      </c>
      <c r="V13" s="5">
        <f t="shared" si="12"/>
        <v>12010809.166174926</v>
      </c>
      <c r="X13" s="5">
        <f>W13/(1+0.07)^10</f>
        <v>0</v>
      </c>
    </row>
    <row r="14" spans="1:30" x14ac:dyDescent="0.3">
      <c r="A14">
        <f t="shared" si="0"/>
        <v>2031</v>
      </c>
      <c r="B14" s="1">
        <f t="shared" si="14"/>
        <v>257424.28770140157</v>
      </c>
      <c r="C14" s="2">
        <f t="shared" si="2"/>
        <v>11701.103986427344</v>
      </c>
      <c r="D14" s="1">
        <f t="shared" ref="D14:D36" si="15">SUM(D13*0.04)+D13</f>
        <v>83434.624000000011</v>
      </c>
      <c r="E14" s="2">
        <f t="shared" si="3"/>
        <v>3792.4829090909097</v>
      </c>
      <c r="F14" s="1">
        <f t="shared" si="4"/>
        <v>11651177.345429728</v>
      </c>
      <c r="G14" s="5">
        <f t="shared" si="5"/>
        <v>18408860.205778971</v>
      </c>
      <c r="H14" s="5">
        <f t="shared" si="6"/>
        <v>14044031.310240997</v>
      </c>
      <c r="I14" s="5">
        <f t="shared" ref="I14:I36" si="16">SUM(F14*0.8924/453/2203*18100)</f>
        <v>188579.83444351217</v>
      </c>
      <c r="J14" s="5">
        <f t="shared" ref="J14:J36" si="17">SUM(F14*0.0066/453/2203*49100)</f>
        <v>3783.4024549705528</v>
      </c>
      <c r="K14" s="5">
        <f t="shared" ref="K14:K36" si="18">SUM(F14*0.0116/453/2203*867600)</f>
        <v>117499.12871448629</v>
      </c>
      <c r="L14" s="5">
        <f>SUM(F14/6*10180/453/2203*63)</f>
        <v>1247941.3948398517</v>
      </c>
      <c r="M14" s="5">
        <f t="shared" si="7"/>
        <v>309862.36561296904</v>
      </c>
      <c r="N14" s="11">
        <f>(L14)/((1+0.03)^11)</f>
        <v>901539.41558064567</v>
      </c>
      <c r="O14" s="5">
        <f>(M14)/((1+0.07)^11)</f>
        <v>147213.37777433824</v>
      </c>
      <c r="P14" s="5">
        <f t="shared" si="8"/>
        <v>2701857.9925757339</v>
      </c>
      <c r="Q14" s="5">
        <f t="shared" si="9"/>
        <v>276907.17012580368</v>
      </c>
      <c r="R14" s="5">
        <f t="shared" si="10"/>
        <v>49847.182549633901</v>
      </c>
      <c r="S14" s="5">
        <f t="shared" si="11"/>
        <v>3028612.3452511718</v>
      </c>
      <c r="T14" s="5">
        <f>SUM(S14)/(1+0.07)^11</f>
        <v>1438871.9082793463</v>
      </c>
      <c r="U14" s="5">
        <f t="shared" si="13"/>
        <v>16531656.011875326</v>
      </c>
      <c r="V14" s="5">
        <f t="shared" si="12"/>
        <v>12398742.008906495</v>
      </c>
      <c r="X14" s="5">
        <f t="shared" si="1"/>
        <v>0</v>
      </c>
    </row>
    <row r="15" spans="1:30" x14ac:dyDescent="0.3">
      <c r="A15">
        <f t="shared" si="0"/>
        <v>2032</v>
      </c>
      <c r="B15" s="1">
        <f t="shared" si="14"/>
        <v>267721.25920945761</v>
      </c>
      <c r="C15" s="2">
        <f t="shared" si="2"/>
        <v>12169.148145884437</v>
      </c>
      <c r="D15" s="1">
        <f t="shared" si="15"/>
        <v>86772.008960000006</v>
      </c>
      <c r="E15" s="2">
        <f t="shared" si="3"/>
        <v>3944.1822254545459</v>
      </c>
      <c r="F15" s="1">
        <f t="shared" si="4"/>
        <v>12117224.439246915</v>
      </c>
      <c r="G15" s="5">
        <f t="shared" si="5"/>
        <v>19145214.614010125</v>
      </c>
      <c r="H15" s="5">
        <f t="shared" si="6"/>
        <v>14605792.562650634</v>
      </c>
      <c r="I15" s="5">
        <f t="shared" si="16"/>
        <v>196123.02782125259</v>
      </c>
      <c r="J15" s="5">
        <f t="shared" si="17"/>
        <v>3934.738553169374</v>
      </c>
      <c r="K15" s="5">
        <f t="shared" si="18"/>
        <v>122199.09386306575</v>
      </c>
      <c r="L15" s="5">
        <f>SUM(F15/6*10180/453/2203*64)</f>
        <v>1318459.9879450875</v>
      </c>
      <c r="M15" s="5">
        <f t="shared" si="7"/>
        <v>322256.86023748771</v>
      </c>
      <c r="N15" s="11">
        <f>(L15)/((1+0.03)^12)</f>
        <v>924741.30838415434</v>
      </c>
      <c r="O15" s="5">
        <f>(M15)/((1+0.07)^12)</f>
        <v>143085.89989281472</v>
      </c>
      <c r="P15" s="5">
        <f t="shared" si="8"/>
        <v>2809932.3122787629</v>
      </c>
      <c r="Q15" s="5">
        <f t="shared" si="9"/>
        <v>287983.45693083573</v>
      </c>
      <c r="R15" s="5">
        <f t="shared" si="10"/>
        <v>51841.069851619242</v>
      </c>
      <c r="S15" s="5">
        <f t="shared" si="11"/>
        <v>3149756.8390612178</v>
      </c>
      <c r="T15" s="5">
        <f>SUM(S15)/(1+0.07)^12</f>
        <v>1398529.7052434767</v>
      </c>
      <c r="U15" s="5">
        <f t="shared" si="13"/>
        <v>17072149.47617108</v>
      </c>
      <c r="V15" s="5">
        <f t="shared" si="12"/>
        <v>12804112.107128311</v>
      </c>
      <c r="X15" s="5">
        <f t="shared" si="1"/>
        <v>0</v>
      </c>
    </row>
    <row r="16" spans="1:30" x14ac:dyDescent="0.3">
      <c r="A16">
        <f t="shared" si="0"/>
        <v>2033</v>
      </c>
      <c r="B16" s="1">
        <f t="shared" si="14"/>
        <v>278430.10957783589</v>
      </c>
      <c r="C16" s="2">
        <f t="shared" si="2"/>
        <v>12655.914071719812</v>
      </c>
      <c r="D16" s="1">
        <f t="shared" si="15"/>
        <v>90242.889318400004</v>
      </c>
      <c r="E16" s="2">
        <f t="shared" si="3"/>
        <v>4101.9495144727271</v>
      </c>
      <c r="F16" s="1">
        <f t="shared" si="4"/>
        <v>12601913.41681679</v>
      </c>
      <c r="G16" s="5">
        <f t="shared" si="5"/>
        <v>19911023.198570527</v>
      </c>
      <c r="H16" s="5">
        <f t="shared" si="6"/>
        <v>15190024.265156657</v>
      </c>
      <c r="I16" s="5">
        <f t="shared" si="16"/>
        <v>203967.94893410266</v>
      </c>
      <c r="J16" s="5">
        <f t="shared" si="17"/>
        <v>4092.1280952961483</v>
      </c>
      <c r="K16" s="5">
        <f t="shared" si="18"/>
        <v>127087.05761758833</v>
      </c>
      <c r="L16" s="5">
        <f>SUM(F16/6*10180/453/2203*65)</f>
        <v>1392623.3622669987</v>
      </c>
      <c r="M16" s="5">
        <f t="shared" si="7"/>
        <v>335147.13464698714</v>
      </c>
      <c r="N16" s="11">
        <f>(L16)/((1+0.03)^13)</f>
        <v>948308.74464151764</v>
      </c>
      <c r="O16" s="5">
        <f>(M16)/((1+0.07)^13)</f>
        <v>139074.1456902124</v>
      </c>
      <c r="P16" s="5">
        <f t="shared" si="8"/>
        <v>2922329.604769913</v>
      </c>
      <c r="Q16" s="5">
        <f t="shared" si="9"/>
        <v>299502.79520806915</v>
      </c>
      <c r="R16" s="5">
        <f t="shared" si="10"/>
        <v>53914.712645684005</v>
      </c>
      <c r="S16" s="5">
        <f t="shared" si="11"/>
        <v>3275747.1126236659</v>
      </c>
      <c r="T16" s="5">
        <f>SUM(S16)/(1+0.07)^13</f>
        <v>1359318.5920123507</v>
      </c>
      <c r="U16" s="5">
        <f t="shared" si="13"/>
        <v>17636725.747500736</v>
      </c>
      <c r="V16" s="5">
        <f t="shared" si="12"/>
        <v>13227544.310625553</v>
      </c>
      <c r="X16" s="5">
        <f t="shared" si="1"/>
        <v>0</v>
      </c>
    </row>
    <row r="17" spans="1:24" x14ac:dyDescent="0.3">
      <c r="A17">
        <f t="shared" si="0"/>
        <v>2034</v>
      </c>
      <c r="B17" s="1">
        <f t="shared" si="14"/>
        <v>289567.31396094931</v>
      </c>
      <c r="C17" s="2">
        <f t="shared" si="2"/>
        <v>13162.150634588605</v>
      </c>
      <c r="D17" s="1">
        <f t="shared" si="15"/>
        <v>93852.604891135998</v>
      </c>
      <c r="E17" s="2">
        <f t="shared" si="3"/>
        <v>4266.0274950516359</v>
      </c>
      <c r="F17" s="1">
        <f t="shared" si="4"/>
        <v>13105989.95348946</v>
      </c>
      <c r="G17" s="5">
        <f t="shared" si="5"/>
        <v>20707464.126513347</v>
      </c>
      <c r="H17" s="5">
        <f t="shared" si="6"/>
        <v>15797625.235762922</v>
      </c>
      <c r="I17" s="5">
        <f t="shared" si="16"/>
        <v>212126.66689146677</v>
      </c>
      <c r="J17" s="5">
        <f t="shared" si="17"/>
        <v>4255.813219107994</v>
      </c>
      <c r="K17" s="5">
        <f t="shared" si="18"/>
        <v>132170.53992229185</v>
      </c>
      <c r="L17" s="5">
        <f>SUM(F17/6*10180/453/2203*66)</f>
        <v>1470610.2705539502</v>
      </c>
      <c r="M17" s="5">
        <f t="shared" si="7"/>
        <v>348553.02003286663</v>
      </c>
      <c r="N17" s="11">
        <f>(L17)/((1+0.03)^14)</f>
        <v>972246.63528295362</v>
      </c>
      <c r="O17" s="5">
        <f>(M17)/((1+0.07)^14)</f>
        <v>135174.8705774027</v>
      </c>
      <c r="P17" s="5">
        <f t="shared" si="8"/>
        <v>3039222.7889607092</v>
      </c>
      <c r="Q17" s="5">
        <f t="shared" si="9"/>
        <v>311482.90701639187</v>
      </c>
      <c r="R17" s="5">
        <f t="shared" si="10"/>
        <v>56071.301151511361</v>
      </c>
      <c r="S17" s="5">
        <f t="shared" si="11"/>
        <v>3406776.9971286124</v>
      </c>
      <c r="T17" s="5">
        <f>SUM(S17)/(1+0.07)^14</f>
        <v>1321206.8557877054</v>
      </c>
      <c r="U17" s="5">
        <f t="shared" si="13"/>
        <v>18226253.597410984</v>
      </c>
      <c r="V17" s="5">
        <f t="shared" si="12"/>
        <v>13669690.198058238</v>
      </c>
      <c r="X17" s="5">
        <f t="shared" si="1"/>
        <v>0</v>
      </c>
    </row>
    <row r="18" spans="1:24" x14ac:dyDescent="0.3">
      <c r="A18">
        <f t="shared" si="0"/>
        <v>2035</v>
      </c>
      <c r="B18" s="1">
        <f t="shared" si="14"/>
        <v>301150.0065193873</v>
      </c>
      <c r="C18" s="2">
        <f t="shared" si="2"/>
        <v>13688.63665997215</v>
      </c>
      <c r="D18" s="1">
        <f t="shared" si="15"/>
        <v>97606.70908678144</v>
      </c>
      <c r="E18" s="2">
        <f t="shared" si="3"/>
        <v>4436.6685948537015</v>
      </c>
      <c r="F18" s="1">
        <f t="shared" si="4"/>
        <v>13630229.551629039</v>
      </c>
      <c r="G18" s="5">
        <f t="shared" si="5"/>
        <v>21535762.691573881</v>
      </c>
      <c r="H18" s="5">
        <f t="shared" si="6"/>
        <v>16429530.245193439</v>
      </c>
      <c r="I18" s="5">
        <f t="shared" si="16"/>
        <v>220611.73356712546</v>
      </c>
      <c r="J18" s="5">
        <f t="shared" si="17"/>
        <v>4426.0457478723129</v>
      </c>
      <c r="K18" s="5">
        <f t="shared" si="18"/>
        <v>137457.36151918356</v>
      </c>
      <c r="L18" s="5">
        <f>SUM(F18/6*10180/453/2203*67)</f>
        <v>1552607.9341242311</v>
      </c>
      <c r="M18" s="5">
        <f t="shared" si="7"/>
        <v>362495.14083418134</v>
      </c>
      <c r="N18" s="11">
        <f>(L18)/((1+0.03)^15)</f>
        <v>996559.95214057376</v>
      </c>
      <c r="O18" s="5">
        <f>(M18)/((1+0.07)^15)</f>
        <v>131384.92093504564</v>
      </c>
      <c r="P18" s="5">
        <f t="shared" si="8"/>
        <v>3160791.7005191376</v>
      </c>
      <c r="Q18" s="5">
        <f t="shared" si="9"/>
        <v>323942.22329704755</v>
      </c>
      <c r="R18" s="5">
        <f t="shared" si="10"/>
        <v>58314.153197571817</v>
      </c>
      <c r="S18" s="5">
        <f t="shared" si="11"/>
        <v>3543048.0770137566</v>
      </c>
      <c r="T18" s="5">
        <f>SUM(S18)/(1+0.07)^15</f>
        <v>1284163.6729151527</v>
      </c>
      <c r="U18" s="5">
        <f t="shared" si="13"/>
        <v>18841638.791184213</v>
      </c>
      <c r="V18" s="5">
        <f t="shared" si="12"/>
        <v>14131229.093388159</v>
      </c>
      <c r="X18" s="5">
        <f t="shared" si="1"/>
        <v>0</v>
      </c>
    </row>
    <row r="19" spans="1:24" x14ac:dyDescent="0.3">
      <c r="A19">
        <f t="shared" si="0"/>
        <v>2036</v>
      </c>
      <c r="B19" s="1">
        <f t="shared" si="14"/>
        <v>313196.0067801628</v>
      </c>
      <c r="C19" s="2">
        <f t="shared" si="2"/>
        <v>14236.182126371037</v>
      </c>
      <c r="D19" s="1">
        <f t="shared" si="15"/>
        <v>101510.9774502527</v>
      </c>
      <c r="E19" s="2">
        <f t="shared" si="3"/>
        <v>4614.1353386478504</v>
      </c>
      <c r="F19" s="1">
        <f t="shared" si="4"/>
        <v>14175438.733694203</v>
      </c>
      <c r="G19" s="5">
        <f t="shared" si="5"/>
        <v>22397193.19923684</v>
      </c>
      <c r="H19" s="5">
        <f t="shared" si="6"/>
        <v>17086711.455001179</v>
      </c>
      <c r="I19" s="5">
        <f t="shared" si="16"/>
        <v>229436.20290981053</v>
      </c>
      <c r="J19" s="5">
        <f t="shared" si="17"/>
        <v>4603.087577787207</v>
      </c>
      <c r="K19" s="5">
        <f t="shared" si="18"/>
        <v>142955.65597995094</v>
      </c>
      <c r="L19" s="5">
        <f>SUM(F19/6*10180/453/2203*69)</f>
        <v>1662912.6172052966</v>
      </c>
      <c r="M19" s="5">
        <f t="shared" si="7"/>
        <v>376994.94646754867</v>
      </c>
      <c r="N19" s="11">
        <f>(L19)/((1+0.03)^16)</f>
        <v>1036272.1658543344</v>
      </c>
      <c r="O19" s="5">
        <f>(M19)/((1+0.07)^16)</f>
        <v>127701.23156303505</v>
      </c>
      <c r="P19" s="5">
        <f t="shared" si="8"/>
        <v>3287223.3685399038</v>
      </c>
      <c r="Q19" s="5">
        <f t="shared" si="9"/>
        <v>336899.91222892952</v>
      </c>
      <c r="R19" s="5">
        <f t="shared" si="10"/>
        <v>60646.719325474704</v>
      </c>
      <c r="S19" s="5">
        <f t="shared" si="11"/>
        <v>3684770.0000943081</v>
      </c>
      <c r="T19" s="5">
        <f>SUM(S19)/(1+0.07)^16</f>
        <v>1248159.0839549154</v>
      </c>
      <c r="U19" s="5">
        <f t="shared" si="13"/>
        <v>19498843.936373465</v>
      </c>
      <c r="V19" s="5">
        <f t="shared" si="12"/>
        <v>14624132.952280099</v>
      </c>
      <c r="X19" s="5">
        <f t="shared" si="1"/>
        <v>0</v>
      </c>
    </row>
    <row r="20" spans="1:24" x14ac:dyDescent="0.3">
      <c r="A20">
        <f t="shared" si="0"/>
        <v>2037</v>
      </c>
      <c r="B20" s="1">
        <f t="shared" si="14"/>
        <v>325723.84705136932</v>
      </c>
      <c r="C20" s="2">
        <f t="shared" si="2"/>
        <v>14805.629411425878</v>
      </c>
      <c r="D20" s="1">
        <f t="shared" si="15"/>
        <v>105571.4165482628</v>
      </c>
      <c r="E20" s="2">
        <f t="shared" si="3"/>
        <v>4798.7007521937639</v>
      </c>
      <c r="F20" s="1">
        <f t="shared" si="4"/>
        <v>14742456.283041971</v>
      </c>
      <c r="G20" s="5">
        <f t="shared" si="5"/>
        <v>23293080.927206315</v>
      </c>
      <c r="H20" s="5">
        <f t="shared" si="6"/>
        <v>17770179.913201228</v>
      </c>
      <c r="I20" s="5">
        <f t="shared" si="16"/>
        <v>238613.65102620292</v>
      </c>
      <c r="J20" s="5">
        <f t="shared" si="17"/>
        <v>4787.2110808986954</v>
      </c>
      <c r="K20" s="5">
        <f t="shared" si="18"/>
        <v>148673.88221914895</v>
      </c>
      <c r="L20" s="5">
        <f>SUM(F20/6*10180/453/2203*70)</f>
        <v>1754493.3120658777</v>
      </c>
      <c r="M20" s="5">
        <f t="shared" si="7"/>
        <v>392074.74432625057</v>
      </c>
      <c r="N20" s="11">
        <f>(L20)/((1+0.03)^17)</f>
        <v>1061497.3079245184</v>
      </c>
      <c r="O20" s="5">
        <f>(M20)/((1+0.07)^17)</f>
        <v>124120.82320145461</v>
      </c>
      <c r="P20" s="5">
        <f t="shared" si="8"/>
        <v>3418712.3032815</v>
      </c>
      <c r="Q20" s="5">
        <f t="shared" si="9"/>
        <v>350375.90871808672</v>
      </c>
      <c r="R20" s="5">
        <f t="shared" si="10"/>
        <v>63072.588098493688</v>
      </c>
      <c r="S20" s="5">
        <f t="shared" si="11"/>
        <v>3832160.8000980807</v>
      </c>
      <c r="T20" s="5">
        <f>SUM(S20)/(1+0.07)^17</f>
        <v>1213163.9694515066</v>
      </c>
      <c r="U20" s="5">
        <f t="shared" si="13"/>
        <v>20168962.013778705</v>
      </c>
      <c r="V20" s="5">
        <f t="shared" si="12"/>
        <v>15126721.51033403</v>
      </c>
      <c r="X20" s="5">
        <f t="shared" si="1"/>
        <v>0</v>
      </c>
    </row>
    <row r="21" spans="1:24" x14ac:dyDescent="0.3">
      <c r="A21">
        <f t="shared" si="0"/>
        <v>2038</v>
      </c>
      <c r="B21" s="1">
        <f t="shared" si="14"/>
        <v>338752.80093342409</v>
      </c>
      <c r="C21" s="2">
        <f t="shared" si="2"/>
        <v>15397.854587882914</v>
      </c>
      <c r="D21" s="1">
        <f t="shared" si="15"/>
        <v>109794.27321019331</v>
      </c>
      <c r="E21" s="2">
        <f t="shared" si="3"/>
        <v>4990.6487822815143</v>
      </c>
      <c r="F21" s="1">
        <f t="shared" si="4"/>
        <v>15332154.53436365</v>
      </c>
      <c r="G21" s="5">
        <f t="shared" si="5"/>
        <v>24224804.164294567</v>
      </c>
      <c r="H21" s="5">
        <f t="shared" si="6"/>
        <v>18480987.109729275</v>
      </c>
      <c r="I21" s="5">
        <f t="shared" si="16"/>
        <v>248158.19706725105</v>
      </c>
      <c r="J21" s="5">
        <f t="shared" si="17"/>
        <v>4978.6995241346431</v>
      </c>
      <c r="K21" s="5">
        <f t="shared" si="18"/>
        <v>154620.83750791493</v>
      </c>
      <c r="L21" s="5">
        <f>SUM(F21/6*10180/453/2203*71)</f>
        <v>1850739.8023277777</v>
      </c>
      <c r="M21" s="5">
        <f t="shared" si="7"/>
        <v>407757.73409930058</v>
      </c>
      <c r="N21" s="11">
        <f>(L21)/((1+0.03)^18)</f>
        <v>1087114.5799881616</v>
      </c>
      <c r="O21" s="5">
        <f>(M21)/((1+0.07)^18)</f>
        <v>120640.80012103998</v>
      </c>
      <c r="P21" s="5">
        <f t="shared" si="8"/>
        <v>3555460.7954127598</v>
      </c>
      <c r="Q21" s="5">
        <f t="shared" si="9"/>
        <v>364390.94506681018</v>
      </c>
      <c r="R21" s="5">
        <f t="shared" si="10"/>
        <v>65595.49162243343</v>
      </c>
      <c r="S21" s="5">
        <f t="shared" si="11"/>
        <v>3985447.2321020034</v>
      </c>
      <c r="T21" s="5">
        <f>SUM(S21)/(1+0.07)^18</f>
        <v>1179150.0263827725</v>
      </c>
      <c r="U21" s="5">
        <f t="shared" si="13"/>
        <v>20867892.516221251</v>
      </c>
      <c r="V21" s="5">
        <f t="shared" si="12"/>
        <v>15650919.387165938</v>
      </c>
      <c r="X21" s="5">
        <f>W21/(1+0.07)^18</f>
        <v>0</v>
      </c>
    </row>
    <row r="22" spans="1:24" x14ac:dyDescent="0.3">
      <c r="A22">
        <f t="shared" si="0"/>
        <v>2039</v>
      </c>
      <c r="B22" s="1">
        <f t="shared" si="14"/>
        <v>352302.91297076107</v>
      </c>
      <c r="C22" s="2">
        <f t="shared" si="2"/>
        <v>16013.76877139823</v>
      </c>
      <c r="D22" s="1">
        <f t="shared" si="15"/>
        <v>114186.04413860104</v>
      </c>
      <c r="E22" s="2">
        <f t="shared" si="3"/>
        <v>5190.2747335727745</v>
      </c>
      <c r="F22" s="1">
        <f t="shared" si="4"/>
        <v>15945440.715738198</v>
      </c>
      <c r="G22" s="5">
        <f t="shared" si="5"/>
        <v>25193796.330866352</v>
      </c>
      <c r="H22" s="5">
        <f t="shared" si="6"/>
        <v>19220226.59411845</v>
      </c>
      <c r="I22" s="5">
        <f t="shared" si="16"/>
        <v>258084.52494994114</v>
      </c>
      <c r="J22" s="5">
        <f t="shared" si="17"/>
        <v>5177.8475051000296</v>
      </c>
      <c r="K22" s="5">
        <f t="shared" si="18"/>
        <v>160805.67100823153</v>
      </c>
      <c r="L22" s="5">
        <f>SUM(F22/6*10180/453/2203*72)</f>
        <v>1951878.8225113237</v>
      </c>
      <c r="M22" s="5">
        <f t="shared" si="7"/>
        <v>424068.04346327268</v>
      </c>
      <c r="N22" s="11">
        <f>(L22)/((1+0.03)^19)</f>
        <v>1113129.2185083213</v>
      </c>
      <c r="O22" s="5">
        <f>(M22)/((1+0.07)^19)</f>
        <v>117258.34778119775</v>
      </c>
      <c r="P22" s="5">
        <f t="shared" si="8"/>
        <v>3697679.2272292706</v>
      </c>
      <c r="Q22" s="5">
        <f t="shared" si="9"/>
        <v>378966.58286948263</v>
      </c>
      <c r="R22" s="5">
        <f t="shared" si="10"/>
        <v>68219.311287330784</v>
      </c>
      <c r="S22" s="5">
        <f t="shared" si="11"/>
        <v>4144865.1213860842</v>
      </c>
      <c r="T22" s="5">
        <f>SUM(S22)/(1+0.07)^19</f>
        <v>1146089.7452692371</v>
      </c>
      <c r="U22" s="5">
        <f t="shared" si="13"/>
        <v>21596703.905677207</v>
      </c>
      <c r="V22" s="5">
        <f t="shared" si="12"/>
        <v>16197527.929257905</v>
      </c>
      <c r="X22" s="5">
        <f t="shared" si="1"/>
        <v>0</v>
      </c>
    </row>
    <row r="23" spans="1:24" x14ac:dyDescent="0.3">
      <c r="A23">
        <f t="shared" si="0"/>
        <v>2040</v>
      </c>
      <c r="B23" s="1">
        <f t="shared" si="14"/>
        <v>366395.02948959148</v>
      </c>
      <c r="C23" s="2">
        <f t="shared" si="2"/>
        <v>16654.319522254158</v>
      </c>
      <c r="D23" s="1">
        <f t="shared" si="15"/>
        <v>118753.48590414508</v>
      </c>
      <c r="E23" s="2">
        <f t="shared" si="3"/>
        <v>5397.8857229156856</v>
      </c>
      <c r="F23" s="1">
        <f t="shared" si="4"/>
        <v>16583258.344367722</v>
      </c>
      <c r="G23" s="5">
        <f t="shared" si="5"/>
        <v>26201548.184101</v>
      </c>
      <c r="H23" s="5">
        <f t="shared" si="6"/>
        <v>19989035.657883182</v>
      </c>
      <c r="I23" s="5">
        <f t="shared" si="16"/>
        <v>268407.90594793868</v>
      </c>
      <c r="J23" s="5">
        <f t="shared" si="17"/>
        <v>5384.9614053040295</v>
      </c>
      <c r="K23" s="5">
        <f t="shared" si="18"/>
        <v>167237.89784856077</v>
      </c>
      <c r="L23" s="5">
        <f>SUM(F23/6*10180/453/2203*73)</f>
        <v>2058147.7806258288</v>
      </c>
      <c r="M23" s="5">
        <f t="shared" si="7"/>
        <v>441030.76520180347</v>
      </c>
      <c r="N23" s="11">
        <f>(L23)/((1+0.03)^20)</f>
        <v>1139546.5246649373</v>
      </c>
      <c r="O23" s="5">
        <f>(M23)/((1+0.07)^20)</f>
        <v>113970.73055368752</v>
      </c>
      <c r="P23" s="5">
        <f t="shared" si="8"/>
        <v>3845586.3963184403</v>
      </c>
      <c r="Q23" s="5">
        <f t="shared" si="9"/>
        <v>394125.24618426186</v>
      </c>
      <c r="R23" s="5">
        <f t="shared" si="10"/>
        <v>70948.083738824003</v>
      </c>
      <c r="S23" s="5">
        <f t="shared" si="11"/>
        <v>4310659.7262415262</v>
      </c>
      <c r="T23" s="5">
        <f>SUM(S23)/(1+0.07)^20</f>
        <v>1113956.3879252395</v>
      </c>
      <c r="U23" s="5">
        <f t="shared" si="13"/>
        <v>22356509.301027048</v>
      </c>
      <c r="V23" s="5">
        <f t="shared" si="12"/>
        <v>16767381.975770287</v>
      </c>
      <c r="X23" s="5">
        <f t="shared" si="1"/>
        <v>0</v>
      </c>
    </row>
    <row r="24" spans="1:24" x14ac:dyDescent="0.3">
      <c r="A24">
        <f t="shared" si="0"/>
        <v>2041</v>
      </c>
      <c r="B24" s="1">
        <f t="shared" si="14"/>
        <v>381050.83066917513</v>
      </c>
      <c r="C24" s="2">
        <f t="shared" si="2"/>
        <v>17320.492303144325</v>
      </c>
      <c r="D24" s="1">
        <f t="shared" si="15"/>
        <v>123503.62534031089</v>
      </c>
      <c r="E24" s="2">
        <f t="shared" si="3"/>
        <v>5613.8011518323128</v>
      </c>
      <c r="F24" s="1">
        <f t="shared" si="4"/>
        <v>17246588.678142428</v>
      </c>
      <c r="G24" s="5">
        <f t="shared" si="5"/>
        <v>27249610.111465037</v>
      </c>
      <c r="H24" s="5">
        <f t="shared" si="6"/>
        <v>20788597.084198508</v>
      </c>
      <c r="I24" s="5">
        <f t="shared" si="16"/>
        <v>279144.2221858562</v>
      </c>
      <c r="J24" s="5">
        <f t="shared" si="17"/>
        <v>5600.35986151619</v>
      </c>
      <c r="K24" s="5">
        <f t="shared" si="18"/>
        <v>173927.41376250316</v>
      </c>
      <c r="L24" s="5">
        <f>SUM(F24/6*10180/453/2203*74)</f>
        <v>2169795.2492734762</v>
      </c>
      <c r="M24" s="5">
        <f t="shared" si="7"/>
        <v>458671.99580987555</v>
      </c>
      <c r="N24" s="11">
        <f>(L24)/((1+0.03)^21)</f>
        <v>1166371.8651178824</v>
      </c>
      <c r="O24" s="5">
        <f>(M24)/((1+0.07)^21)</f>
        <v>110775.28951012617</v>
      </c>
      <c r="P24" s="5">
        <f t="shared" si="8"/>
        <v>3999409.8521711775</v>
      </c>
      <c r="Q24" s="5">
        <f t="shared" si="9"/>
        <v>409890.25603163225</v>
      </c>
      <c r="R24" s="5">
        <f t="shared" si="10"/>
        <v>73786.007088376951</v>
      </c>
      <c r="S24" s="5">
        <f t="shared" si="11"/>
        <v>4483086.1152911866</v>
      </c>
      <c r="T24" s="5">
        <f>SUM(S24)/(1+0.07)^21</f>
        <v>1082723.9658338774</v>
      </c>
      <c r="U24" s="5">
        <f t="shared" si="13"/>
        <v>23148468.204660393</v>
      </c>
      <c r="V24" s="5">
        <f t="shared" si="12"/>
        <v>17361351.153495297</v>
      </c>
      <c r="X24" s="5">
        <f t="shared" si="1"/>
        <v>0</v>
      </c>
    </row>
    <row r="25" spans="1:24" x14ac:dyDescent="0.3">
      <c r="A25">
        <f t="shared" si="0"/>
        <v>2042</v>
      </c>
      <c r="B25" s="1">
        <f t="shared" si="14"/>
        <v>396292.86389594217</v>
      </c>
      <c r="C25" s="2">
        <f t="shared" si="2"/>
        <v>18013.311995270098</v>
      </c>
      <c r="D25" s="1">
        <f t="shared" si="15"/>
        <v>128443.77035392332</v>
      </c>
      <c r="E25" s="2">
        <f t="shared" si="3"/>
        <v>5838.3531979056052</v>
      </c>
      <c r="F25" s="1">
        <f t="shared" si="4"/>
        <v>17936452.225268129</v>
      </c>
      <c r="G25" s="5">
        <f t="shared" si="5"/>
        <v>28339594.515923642</v>
      </c>
      <c r="H25" s="5">
        <f t="shared" si="6"/>
        <v>21620140.967566449</v>
      </c>
      <c r="I25" s="5">
        <f t="shared" si="16"/>
        <v>290309.99107329053</v>
      </c>
      <c r="J25" s="5">
        <f t="shared" si="17"/>
        <v>5824.374255976838</v>
      </c>
      <c r="K25" s="5">
        <f t="shared" si="18"/>
        <v>180884.51031300332</v>
      </c>
      <c r="L25" s="5">
        <f>SUM(F25/6*10180/453/2203*75)</f>
        <v>2287081.4789639344</v>
      </c>
      <c r="M25" s="5">
        <f t="shared" si="7"/>
        <v>477018.87564227066</v>
      </c>
      <c r="N25" s="11">
        <f>(L25)/((1+0.03)^22)</f>
        <v>1193610.67277873</v>
      </c>
      <c r="O25" s="5">
        <f>(M25)/((1+0.07)^22)</f>
        <v>107669.44027152452</v>
      </c>
      <c r="P25" s="5">
        <f t="shared" si="8"/>
        <v>4159386.2462580255</v>
      </c>
      <c r="Q25" s="5">
        <f t="shared" si="9"/>
        <v>426285.86627289763</v>
      </c>
      <c r="R25" s="5">
        <f t="shared" si="10"/>
        <v>76737.447371912043</v>
      </c>
      <c r="S25" s="5">
        <f t="shared" si="11"/>
        <v>4662409.5599028356</v>
      </c>
      <c r="T25" s="5">
        <f>SUM(S25)/(1+0.07)^22</f>
        <v>1052367.219128255</v>
      </c>
      <c r="U25" s="5">
        <f t="shared" si="13"/>
        <v>23973788.299744956</v>
      </c>
      <c r="V25" s="5">
        <f t="shared" si="12"/>
        <v>17980341.224808715</v>
      </c>
      <c r="X25" s="5">
        <f t="shared" si="1"/>
        <v>0</v>
      </c>
    </row>
    <row r="26" spans="1:24" x14ac:dyDescent="0.3">
      <c r="A26">
        <f t="shared" si="0"/>
        <v>2043</v>
      </c>
      <c r="B26" s="1">
        <f t="shared" si="14"/>
        <v>412144.57845177985</v>
      </c>
      <c r="C26" s="2">
        <f t="shared" si="2"/>
        <v>18733.844475080903</v>
      </c>
      <c r="D26" s="1">
        <f t="shared" si="15"/>
        <v>133581.52116808025</v>
      </c>
      <c r="E26" s="2">
        <f t="shared" si="3"/>
        <v>6071.8873258218291</v>
      </c>
      <c r="F26" s="1">
        <f t="shared" si="4"/>
        <v>18653910.314278856</v>
      </c>
      <c r="G26" s="5">
        <f t="shared" si="5"/>
        <v>29473178.296560593</v>
      </c>
      <c r="H26" s="5">
        <f t="shared" si="6"/>
        <v>22484946.60626911</v>
      </c>
      <c r="I26" s="5">
        <f t="shared" si="16"/>
        <v>301922.39071622223</v>
      </c>
      <c r="J26" s="5">
        <f t="shared" si="17"/>
        <v>6057.3492262159125</v>
      </c>
      <c r="K26" s="5">
        <f t="shared" si="18"/>
        <v>188119.89072552347</v>
      </c>
      <c r="L26" s="5">
        <f>SUM(F26/6*10180/453/2203*77)</f>
        <v>2441993.1311390926</v>
      </c>
      <c r="M26" s="5">
        <f t="shared" si="7"/>
        <v>496099.63066796161</v>
      </c>
      <c r="N26" s="11">
        <f>(L26)/((1+0.03)^23)</f>
        <v>1237337.7692701714</v>
      </c>
      <c r="O26" s="5">
        <f>(M26)/((1+0.07)^23)</f>
        <v>104650.67091811731</v>
      </c>
      <c r="P26" s="5">
        <f t="shared" si="8"/>
        <v>4325761.6961083468</v>
      </c>
      <c r="Q26" s="5">
        <f t="shared" si="9"/>
        <v>443337.3009238136</v>
      </c>
      <c r="R26" s="5">
        <f t="shared" si="10"/>
        <v>79806.945266788534</v>
      </c>
      <c r="S26" s="5">
        <f t="shared" si="11"/>
        <v>4848905.9422989488</v>
      </c>
      <c r="T26" s="5">
        <f>SUM(S26)/(1+0.07)^23</f>
        <v>1022861.5961620421</v>
      </c>
      <c r="U26" s="5">
        <f t="shared" si="13"/>
        <v>24849796.642619442</v>
      </c>
      <c r="V26" s="5">
        <f t="shared" si="12"/>
        <v>18637347.481964581</v>
      </c>
      <c r="X26" s="5">
        <f>W26/(1+0.07)^23</f>
        <v>0</v>
      </c>
    </row>
    <row r="27" spans="1:24" x14ac:dyDescent="0.3">
      <c r="A27">
        <f t="shared" si="0"/>
        <v>2044</v>
      </c>
      <c r="B27" s="1">
        <f t="shared" si="14"/>
        <v>428630.36158985103</v>
      </c>
      <c r="C27" s="2">
        <f t="shared" si="2"/>
        <v>19483.198254084138</v>
      </c>
      <c r="D27" s="1">
        <f t="shared" si="15"/>
        <v>138924.78201480347</v>
      </c>
      <c r="E27" s="2">
        <f t="shared" si="3"/>
        <v>6314.7628188547033</v>
      </c>
      <c r="F27" s="1">
        <f t="shared" si="4"/>
        <v>19400066.726850007</v>
      </c>
      <c r="G27" s="5">
        <f t="shared" si="5"/>
        <v>30652105.42842301</v>
      </c>
      <c r="H27" s="5">
        <f t="shared" si="6"/>
        <v>23384344.470519871</v>
      </c>
      <c r="I27" s="5">
        <f t="shared" si="16"/>
        <v>313999.28634487104</v>
      </c>
      <c r="J27" s="5">
        <f t="shared" si="17"/>
        <v>6299.643195264548</v>
      </c>
      <c r="K27" s="5">
        <f t="shared" si="18"/>
        <v>195644.68635454436</v>
      </c>
      <c r="L27" s="5">
        <f>SUM(F27/6*10180/453/2203*78)</f>
        <v>2572655.6207532873</v>
      </c>
      <c r="M27" s="5">
        <f t="shared" si="7"/>
        <v>515943.61589467997</v>
      </c>
      <c r="N27" s="11">
        <f>(L27)/((1+0.03)^24)</f>
        <v>1265576.0918320047</v>
      </c>
      <c r="O27" s="5">
        <f>(M27)/((1+0.07)^24)</f>
        <v>101716.53995779624</v>
      </c>
      <c r="P27" s="5">
        <f t="shared" si="8"/>
        <v>4498792.1639526794</v>
      </c>
      <c r="Q27" s="5">
        <f t="shared" si="9"/>
        <v>461070.79296076606</v>
      </c>
      <c r="R27" s="5">
        <f t="shared" si="10"/>
        <v>82999.223077460061</v>
      </c>
      <c r="S27" s="5">
        <f t="shared" si="11"/>
        <v>5042862.1799909053</v>
      </c>
      <c r="T27" s="5">
        <f>SUM(S27)/(1+0.07)^24</f>
        <v>994183.2336528257</v>
      </c>
      <c r="U27" s="5">
        <f t="shared" si="13"/>
        <v>25745820.335962497</v>
      </c>
      <c r="V27" s="5">
        <f t="shared" si="12"/>
        <v>19309365.251971871</v>
      </c>
      <c r="X27" s="5">
        <f>W27/(1+0.07)^23</f>
        <v>0</v>
      </c>
    </row>
    <row r="28" spans="1:24" x14ac:dyDescent="0.3">
      <c r="A28">
        <f t="shared" si="0"/>
        <v>2045</v>
      </c>
      <c r="B28" s="1">
        <f t="shared" si="14"/>
        <v>445775.57605344505</v>
      </c>
      <c r="C28" s="2">
        <f t="shared" si="2"/>
        <v>20262.526184247501</v>
      </c>
      <c r="D28" s="1">
        <f t="shared" si="15"/>
        <v>144481.7732953956</v>
      </c>
      <c r="E28" s="2">
        <f t="shared" si="3"/>
        <v>6567.3533316088906</v>
      </c>
      <c r="F28" s="1">
        <f t="shared" si="4"/>
        <v>20176069.395924006</v>
      </c>
      <c r="G28" s="5">
        <f t="shared" si="5"/>
        <v>31878189.645559926</v>
      </c>
      <c r="H28" s="5">
        <f t="shared" si="6"/>
        <v>24319718.249340661</v>
      </c>
      <c r="I28" s="5">
        <f t="shared" si="16"/>
        <v>326559.25779866584</v>
      </c>
      <c r="J28" s="5">
        <f t="shared" si="17"/>
        <v>6551.628923075129</v>
      </c>
      <c r="K28" s="5">
        <f t="shared" si="18"/>
        <v>203470.47380872612</v>
      </c>
      <c r="L28" s="5">
        <f>SUM(F28/6*10180/453/2203*79)</f>
        <v>2709863.9205267965</v>
      </c>
      <c r="M28" s="5">
        <f t="shared" si="7"/>
        <v>536581.36053046712</v>
      </c>
      <c r="N28" s="11">
        <f>(L28)/((1+0.03)^25)</f>
        <v>1294246.1003848335</v>
      </c>
      <c r="O28" s="5">
        <f>(M28)/((1+0.07)^25)</f>
        <v>98864.674351502879</v>
      </c>
      <c r="P28" s="5">
        <f t="shared" si="8"/>
        <v>4678743.8505107872</v>
      </c>
      <c r="Q28" s="5">
        <f t="shared" si="9"/>
        <v>479513.62467919663</v>
      </c>
      <c r="R28" s="5">
        <f t="shared" si="10"/>
        <v>86319.19200055844</v>
      </c>
      <c r="S28" s="5">
        <f t="shared" si="11"/>
        <v>5244576.6671905424</v>
      </c>
      <c r="T28" s="5">
        <f>SUM(S28)/(1+0.07)^25</f>
        <v>966308.93738218583</v>
      </c>
      <c r="U28" s="5">
        <f t="shared" si="13"/>
        <v>26679137.961459182</v>
      </c>
      <c r="V28" s="5">
        <f t="shared" si="12"/>
        <v>20009353.471094385</v>
      </c>
      <c r="X28" s="5">
        <f t="shared" si="1"/>
        <v>0</v>
      </c>
    </row>
    <row r="29" spans="1:24" x14ac:dyDescent="0.3">
      <c r="A29">
        <f t="shared" si="0"/>
        <v>2046</v>
      </c>
      <c r="B29" s="1">
        <f t="shared" si="14"/>
        <v>463606.59909558285</v>
      </c>
      <c r="C29" s="2">
        <f t="shared" si="2"/>
        <v>21073.027231617401</v>
      </c>
      <c r="D29" s="1">
        <f t="shared" si="15"/>
        <v>150261.04422721142</v>
      </c>
      <c r="E29" s="2">
        <f t="shared" si="3"/>
        <v>6830.0474648732461</v>
      </c>
      <c r="F29" s="1">
        <f t="shared" si="4"/>
        <v>20983112.171760965</v>
      </c>
      <c r="G29" s="5">
        <f t="shared" si="5"/>
        <v>33153317.231382322</v>
      </c>
      <c r="H29" s="5">
        <f t="shared" si="6"/>
        <v>25292506.979314286</v>
      </c>
      <c r="I29" s="5">
        <f t="shared" si="16"/>
        <v>339621.62811061239</v>
      </c>
      <c r="J29" s="5">
        <f t="shared" si="17"/>
        <v>6813.694079998133</v>
      </c>
      <c r="K29" s="5">
        <f t="shared" si="18"/>
        <v>211609.29276107516</v>
      </c>
      <c r="L29" s="5">
        <f>SUM(F29/6*10180/453/2203*80)</f>
        <v>2853932.6352889799</v>
      </c>
      <c r="M29" s="5">
        <f t="shared" si="7"/>
        <v>558044.61495168565</v>
      </c>
      <c r="N29" s="11">
        <f>(L29)/((1+0.03)^26)</f>
        <v>1323353.5154481763</v>
      </c>
      <c r="O29" s="5">
        <f>(M29)/((1+0.07)^26)</f>
        <v>96092.767593984085</v>
      </c>
      <c r="P29" s="5">
        <f t="shared" si="8"/>
        <v>4865893.6045312183</v>
      </c>
      <c r="Q29" s="5">
        <f t="shared" si="9"/>
        <v>498694.1696663645</v>
      </c>
      <c r="R29" s="5">
        <f t="shared" si="10"/>
        <v>89771.959680580796</v>
      </c>
      <c r="S29" s="5">
        <f t="shared" si="11"/>
        <v>5454359.7338781636</v>
      </c>
      <c r="T29" s="5">
        <f>SUM(S29)/(1+0.07)^26</f>
        <v>939216.16343689093</v>
      </c>
      <c r="U29" s="5">
        <f t="shared" si="13"/>
        <v>27651169.425793335</v>
      </c>
      <c r="V29" s="5">
        <f t="shared" si="12"/>
        <v>20738377.069345001</v>
      </c>
      <c r="X29" s="5">
        <f t="shared" si="1"/>
        <v>0</v>
      </c>
    </row>
    <row r="30" spans="1:24" x14ac:dyDescent="0.3">
      <c r="A30">
        <f t="shared" si="0"/>
        <v>2047</v>
      </c>
      <c r="B30" s="1">
        <f t="shared" si="14"/>
        <v>482150.86305940617</v>
      </c>
      <c r="C30" s="2">
        <f t="shared" si="2"/>
        <v>21915.948320882097</v>
      </c>
      <c r="D30" s="1">
        <f t="shared" si="15"/>
        <v>156271.48599629986</v>
      </c>
      <c r="E30" s="2">
        <f t="shared" si="3"/>
        <v>7103.249363468175</v>
      </c>
      <c r="F30" s="1">
        <f t="shared" si="4"/>
        <v>21822436.658631403</v>
      </c>
      <c r="G30" s="5">
        <f t="shared" si="5"/>
        <v>34479449.920637615</v>
      </c>
      <c r="H30" s="5">
        <f t="shared" si="6"/>
        <v>26304207.25848686</v>
      </c>
      <c r="I30" s="5">
        <f t="shared" si="16"/>
        <v>353206.49323503691</v>
      </c>
      <c r="J30" s="5">
        <f t="shared" si="17"/>
        <v>7086.2418431980586</v>
      </c>
      <c r="K30" s="5">
        <f t="shared" si="18"/>
        <v>220073.66447151819</v>
      </c>
      <c r="L30" s="5">
        <f>SUM(F30/6*10180/453/2203*81)</f>
        <v>3005191.064959296</v>
      </c>
      <c r="M30" s="5">
        <f t="shared" si="7"/>
        <v>580366.39954975317</v>
      </c>
      <c r="N30" s="11">
        <f>(L30)/((1+0.03)^27)</f>
        <v>1352904.1279290582</v>
      </c>
      <c r="O30" s="5">
        <f>(M30)/((1+0.07)^27)</f>
        <v>93398.577848358356</v>
      </c>
      <c r="P30" s="5">
        <f t="shared" si="8"/>
        <v>5060529.3487124667</v>
      </c>
      <c r="Q30" s="5">
        <f t="shared" si="9"/>
        <v>518641.93645301904</v>
      </c>
      <c r="R30" s="5">
        <f t="shared" si="10"/>
        <v>93362.838067804012</v>
      </c>
      <c r="S30" s="5">
        <f t="shared" si="11"/>
        <v>5672534.1232332904</v>
      </c>
      <c r="T30" s="5">
        <f>SUM(S30)/(1+0.07)^27</f>
        <v>912882.99997604336</v>
      </c>
      <c r="U30" s="5">
        <f t="shared" si="13"/>
        <v>28663392.96424032</v>
      </c>
      <c r="V30" s="5">
        <f t="shared" si="12"/>
        <v>21497544.723180242</v>
      </c>
      <c r="X30" s="5">
        <f t="shared" si="1"/>
        <v>0</v>
      </c>
    </row>
    <row r="31" spans="1:24" x14ac:dyDescent="0.3">
      <c r="A31">
        <f t="shared" si="0"/>
        <v>2048</v>
      </c>
      <c r="B31" s="1">
        <f t="shared" si="14"/>
        <v>501436.89758178242</v>
      </c>
      <c r="C31" s="2">
        <f t="shared" si="2"/>
        <v>22792.586253717382</v>
      </c>
      <c r="D31" s="1">
        <f t="shared" si="15"/>
        <v>162522.34543615187</v>
      </c>
      <c r="E31" s="2">
        <f t="shared" si="3"/>
        <v>7387.3793380069028</v>
      </c>
      <c r="F31" s="1">
        <f t="shared" si="4"/>
        <v>22695334.124976661</v>
      </c>
      <c r="G31" s="5">
        <f t="shared" si="5"/>
        <v>35858627.917463124</v>
      </c>
      <c r="H31" s="5">
        <f t="shared" si="6"/>
        <v>27356375.548826337</v>
      </c>
      <c r="I31" s="5">
        <f t="shared" si="16"/>
        <v>367334.75296443835</v>
      </c>
      <c r="J31" s="5">
        <f t="shared" si="17"/>
        <v>7369.6915169259828</v>
      </c>
      <c r="K31" s="5">
        <f t="shared" si="18"/>
        <v>228876.61105037888</v>
      </c>
      <c r="L31" s="5">
        <f>SUM(F31/6*10180/453/2203*82)</f>
        <v>3163983.8767867745</v>
      </c>
      <c r="M31" s="5">
        <f t="shared" si="7"/>
        <v>603581.05553174322</v>
      </c>
      <c r="N31" s="11">
        <f>(L31)/((1+0.03)^28)</f>
        <v>1382903.7999495394</v>
      </c>
      <c r="O31" s="5">
        <f>(M31)/((1+0.07)^28)</f>
        <v>90779.926132983834</v>
      </c>
      <c r="P31" s="5">
        <f t="shared" si="8"/>
        <v>5262950.522660966</v>
      </c>
      <c r="Q31" s="5">
        <f t="shared" si="9"/>
        <v>539387.61391113978</v>
      </c>
      <c r="R31" s="5">
        <f t="shared" si="10"/>
        <v>97097.351590516191</v>
      </c>
      <c r="S31" s="5">
        <f t="shared" si="11"/>
        <v>5899435.4881626219</v>
      </c>
      <c r="T31" s="5">
        <f>SUM(S31)/(1+0.07)^28</f>
        <v>887288.14950942551</v>
      </c>
      <c r="U31" s="5">
        <f t="shared" si="13"/>
        <v>29717347.424418285</v>
      </c>
      <c r="V31" s="5">
        <f t="shared" si="12"/>
        <v>22288010.568313714</v>
      </c>
      <c r="X31" s="5">
        <f>W31/(1+0.07)^28</f>
        <v>0</v>
      </c>
    </row>
    <row r="32" spans="1:24" x14ac:dyDescent="0.3">
      <c r="A32">
        <f t="shared" si="0"/>
        <v>2049</v>
      </c>
      <c r="B32" s="1">
        <f t="shared" si="14"/>
        <v>521494.37348505371</v>
      </c>
      <c r="C32" s="2">
        <f t="shared" si="2"/>
        <v>23704.289703866078</v>
      </c>
      <c r="D32" s="1">
        <f t="shared" si="15"/>
        <v>169023.23925359795</v>
      </c>
      <c r="E32" s="2">
        <f t="shared" si="3"/>
        <v>7682.8745115271795</v>
      </c>
      <c r="F32" s="1">
        <f t="shared" si="4"/>
        <v>23603147.489975728</v>
      </c>
      <c r="G32" s="5">
        <f t="shared" si="5"/>
        <v>37292973.03416165</v>
      </c>
      <c r="H32" s="5">
        <f t="shared" si="6"/>
        <v>28450630.570779391</v>
      </c>
      <c r="I32" s="5">
        <f t="shared" si="16"/>
        <v>382028.14308301592</v>
      </c>
      <c r="J32" s="5">
        <f t="shared" si="17"/>
        <v>7664.4791776030233</v>
      </c>
      <c r="K32" s="5">
        <f t="shared" si="18"/>
        <v>238031.6754923941</v>
      </c>
      <c r="L32" s="5">
        <f>SUM(F32/6*10180/453/2203*83)</f>
        <v>3330671.8078565174</v>
      </c>
      <c r="M32" s="5">
        <f t="shared" si="7"/>
        <v>627724.29775301309</v>
      </c>
      <c r="N32" s="11">
        <f>(L32)/((1+0.03)^29)</f>
        <v>1413358.4656836877</v>
      </c>
      <c r="O32" s="5">
        <f>(M32)/((1+0.07)^29)</f>
        <v>88234.694559161871</v>
      </c>
      <c r="P32" s="5">
        <f t="shared" si="8"/>
        <v>5473468.5435674051</v>
      </c>
      <c r="Q32" s="5">
        <f t="shared" si="9"/>
        <v>560963.11846758553</v>
      </c>
      <c r="R32" s="5">
        <f t="shared" si="10"/>
        <v>100981.24565413683</v>
      </c>
      <c r="S32" s="5">
        <f t="shared" si="11"/>
        <v>6135412.9076891271</v>
      </c>
      <c r="T32" s="5">
        <f>SUM(S32)/(1+0.07)^29</f>
        <v>862410.91167271265</v>
      </c>
      <c r="U32" s="5">
        <f t="shared" si="13"/>
        <v>30814634.64269495</v>
      </c>
      <c r="V32" s="5">
        <f t="shared" si="12"/>
        <v>23110975.982021213</v>
      </c>
      <c r="X32" s="5">
        <f t="shared" si="1"/>
        <v>0</v>
      </c>
    </row>
    <row r="33" spans="1:24" x14ac:dyDescent="0.3">
      <c r="A33">
        <f t="shared" si="0"/>
        <v>2050</v>
      </c>
      <c r="B33" s="1">
        <f t="shared" si="14"/>
        <v>542354.1484244559</v>
      </c>
      <c r="C33" s="2">
        <f t="shared" si="2"/>
        <v>24652.461292020722</v>
      </c>
      <c r="D33" s="1">
        <f t="shared" si="15"/>
        <v>175784.16882374187</v>
      </c>
      <c r="E33" s="2">
        <f t="shared" si="3"/>
        <v>7990.189491988267</v>
      </c>
      <c r="F33" s="1">
        <f t="shared" si="4"/>
        <v>24547273.389574762</v>
      </c>
      <c r="G33" s="5">
        <f t="shared" si="5"/>
        <v>38784691.955528125</v>
      </c>
      <c r="H33" s="5">
        <f t="shared" si="6"/>
        <v>29588655.793610577</v>
      </c>
      <c r="I33" s="5">
        <f t="shared" si="16"/>
        <v>397309.26880633668</v>
      </c>
      <c r="J33" s="5">
        <f t="shared" si="17"/>
        <v>7971.0583447071458</v>
      </c>
      <c r="K33" s="5">
        <f t="shared" si="18"/>
        <v>247552.94251208985</v>
      </c>
      <c r="L33" s="5">
        <f>SUM(F33/6*10180/453/2203*85)</f>
        <v>3547366.118247183</v>
      </c>
      <c r="M33" s="5">
        <f t="shared" si="7"/>
        <v>652833.26966313366</v>
      </c>
      <c r="N33" s="11">
        <f>(L33)/((1+0.03)^30)</f>
        <v>1461467.8718731783</v>
      </c>
      <c r="O33" s="5">
        <f>(M33)/((1+0.07)^30)</f>
        <v>85760.824618250801</v>
      </c>
      <c r="P33" s="5">
        <f t="shared" si="8"/>
        <v>5692407.2853101017</v>
      </c>
      <c r="Q33" s="5">
        <f t="shared" si="9"/>
        <v>583401.64320628904</v>
      </c>
      <c r="R33" s="5">
        <f t="shared" si="10"/>
        <v>105020.49548030233</v>
      </c>
      <c r="S33" s="5">
        <f t="shared" si="11"/>
        <v>6380829.4239966935</v>
      </c>
      <c r="T33" s="5">
        <f>SUM(S33)/(1+0.07)^30</f>
        <v>838231.16648562741</v>
      </c>
      <c r="U33" s="5">
        <f t="shared" si="13"/>
        <v>31974115.656587631</v>
      </c>
      <c r="V33" s="5">
        <f t="shared" si="12"/>
        <v>23980586.742440723</v>
      </c>
      <c r="X33" s="5">
        <f t="shared" si="1"/>
        <v>0</v>
      </c>
    </row>
    <row r="34" spans="1:24" x14ac:dyDescent="0.3">
      <c r="A34">
        <f t="shared" si="0"/>
        <v>2051</v>
      </c>
      <c r="B34" s="1">
        <f t="shared" si="14"/>
        <v>564048.31436143408</v>
      </c>
      <c r="C34" s="2">
        <f t="shared" si="2"/>
        <v>25638.559743701549</v>
      </c>
      <c r="D34" s="1">
        <f t="shared" si="15"/>
        <v>182815.53557669156</v>
      </c>
      <c r="E34" s="2">
        <f t="shared" si="3"/>
        <v>8309.7970716677974</v>
      </c>
      <c r="F34" s="1">
        <f t="shared" si="4"/>
        <v>25529164.32515775</v>
      </c>
      <c r="G34" s="5">
        <f t="shared" si="5"/>
        <v>40336079.633749247</v>
      </c>
      <c r="H34" s="5">
        <f t="shared" si="6"/>
        <v>30772202.025354996</v>
      </c>
      <c r="I34" s="5">
        <f t="shared" si="16"/>
        <v>413201.63955859008</v>
      </c>
      <c r="J34" s="5">
        <f t="shared" si="17"/>
        <v>8289.900678495429</v>
      </c>
      <c r="K34" s="5">
        <f t="shared" si="18"/>
        <v>257455.06021257344</v>
      </c>
      <c r="L34" s="5">
        <f>SUM(F34/6*10180/453/2203*86)</f>
        <v>3732663.8307767995</v>
      </c>
      <c r="M34" s="5">
        <f t="shared" si="7"/>
        <v>678946.60044965893</v>
      </c>
      <c r="N34" s="11">
        <f>(L34)/((1+0.03)^31)</f>
        <v>1493017.5495184124</v>
      </c>
      <c r="O34" s="5">
        <f>(M34)/((1+0.07)^31)</f>
        <v>83356.31551680449</v>
      </c>
      <c r="P34" s="5">
        <f t="shared" si="8"/>
        <v>5920103.5767225055</v>
      </c>
      <c r="Q34" s="5">
        <f t="shared" si="9"/>
        <v>606737.70893454051</v>
      </c>
      <c r="R34" s="5">
        <f t="shared" si="10"/>
        <v>109221.3152995144</v>
      </c>
      <c r="S34" s="5">
        <f t="shared" si="11"/>
        <v>6636062.600956561</v>
      </c>
      <c r="T34" s="5">
        <f>SUM(S34)/(1+0.07)^31</f>
        <v>814729.35807948816</v>
      </c>
      <c r="U34" s="5">
        <f t="shared" si="13"/>
        <v>33163305.248469703</v>
      </c>
      <c r="V34" s="5">
        <f t="shared" si="12"/>
        <v>24872478.936352275</v>
      </c>
      <c r="X34" s="5">
        <f t="shared" si="1"/>
        <v>0</v>
      </c>
    </row>
    <row r="35" spans="1:24" x14ac:dyDescent="0.3">
      <c r="A35">
        <f t="shared" si="0"/>
        <v>2052</v>
      </c>
      <c r="B35" s="1">
        <f t="shared" si="14"/>
        <v>586610.24693589145</v>
      </c>
      <c r="C35" s="2">
        <f t="shared" si="2"/>
        <v>26664.102133449614</v>
      </c>
      <c r="D35" s="1">
        <f t="shared" si="15"/>
        <v>190128.15699975923</v>
      </c>
      <c r="E35" s="2">
        <f t="shared" si="3"/>
        <v>8642.1889545345111</v>
      </c>
      <c r="F35" s="1">
        <f t="shared" si="4"/>
        <v>26550330.89816406</v>
      </c>
      <c r="G35" s="5">
        <f t="shared" si="5"/>
        <v>41949522.819099218</v>
      </c>
      <c r="H35" s="5">
        <f t="shared" si="6"/>
        <v>32003090.106369197</v>
      </c>
      <c r="I35" s="5">
        <f t="shared" si="16"/>
        <v>429729.70514093369</v>
      </c>
      <c r="J35" s="5">
        <f t="shared" si="17"/>
        <v>8621.4967056352452</v>
      </c>
      <c r="K35" s="5">
        <f t="shared" si="18"/>
        <v>267753.26262107643</v>
      </c>
      <c r="L35" s="5">
        <f>SUM(F35/6*10180/453/2203*87)</f>
        <v>3927109.5745195905</v>
      </c>
      <c r="M35" s="5">
        <f t="shared" si="7"/>
        <v>706104.46446764539</v>
      </c>
      <c r="N35" s="11">
        <f>(L35)/((1+0.03)^32)</f>
        <v>1525042.084899819</v>
      </c>
      <c r="O35" s="5">
        <f>(M35)/((1+0.07)^32)</f>
        <v>81019.222558389432</v>
      </c>
      <c r="P35" s="5">
        <f t="shared" si="8"/>
        <v>6156907.7197914058</v>
      </c>
      <c r="Q35" s="5">
        <f t="shared" si="9"/>
        <v>631007.21729192219</v>
      </c>
      <c r="R35" s="5">
        <f t="shared" si="10"/>
        <v>113590.16791149499</v>
      </c>
      <c r="S35" s="5">
        <f t="shared" si="11"/>
        <v>6901505.1049948232</v>
      </c>
      <c r="T35" s="5">
        <f>SUM(S35)/(1+0.07)^32</f>
        <v>791886.47888099786</v>
      </c>
      <c r="U35" s="5">
        <f t="shared" si="13"/>
        <v>34401037.892708406</v>
      </c>
      <c r="V35" s="5">
        <f t="shared" si="12"/>
        <v>25800778.419531304</v>
      </c>
      <c r="X35" s="5">
        <f t="shared" si="1"/>
        <v>0</v>
      </c>
    </row>
    <row r="36" spans="1:24" x14ac:dyDescent="0.3">
      <c r="A36">
        <f t="shared" si="0"/>
        <v>2053</v>
      </c>
      <c r="B36" s="1">
        <f t="shared" si="14"/>
        <v>610074.65681332711</v>
      </c>
      <c r="C36" s="2">
        <f t="shared" si="2"/>
        <v>27730.666218787595</v>
      </c>
      <c r="D36" s="1">
        <f t="shared" si="15"/>
        <v>197733.28327974959</v>
      </c>
      <c r="E36" s="2">
        <f t="shared" si="3"/>
        <v>8987.8765127158913</v>
      </c>
      <c r="F36" s="1">
        <f t="shared" si="4"/>
        <v>27612344.134090625</v>
      </c>
      <c r="G36" s="5">
        <f t="shared" si="5"/>
        <v>43627503.731863186</v>
      </c>
      <c r="H36" s="5">
        <f t="shared" si="6"/>
        <v>33283213.710623965</v>
      </c>
      <c r="I36" s="5">
        <f t="shared" si="16"/>
        <v>446918.89334657113</v>
      </c>
      <c r="J36" s="5">
        <f t="shared" si="17"/>
        <v>8966.3565738606576</v>
      </c>
      <c r="K36" s="5">
        <f t="shared" si="18"/>
        <v>278463.39312591951</v>
      </c>
      <c r="L36" s="5">
        <f>SUM(F36/6*10180/453/2203*88)</f>
        <v>4131138.715632563</v>
      </c>
      <c r="M36" s="5">
        <f t="shared" si="7"/>
        <v>734348.64304635138</v>
      </c>
      <c r="N36" s="11">
        <f>(L36)/((1+0.03)^33)</f>
        <v>1557547.7246962555</v>
      </c>
      <c r="O36" s="5">
        <f>(M36)/((1+0.07)^33)</f>
        <v>78747.65557077105</v>
      </c>
      <c r="P36" s="5">
        <f t="shared" si="8"/>
        <v>6403184.0285830628</v>
      </c>
      <c r="Q36" s="5">
        <f t="shared" si="9"/>
        <v>656247.50598359911</v>
      </c>
      <c r="R36" s="5">
        <f t="shared" si="10"/>
        <v>118133.77462795479</v>
      </c>
      <c r="S36" s="5">
        <f t="shared" si="11"/>
        <v>7177565.309194617</v>
      </c>
      <c r="T36" s="5">
        <f>SUM(S36)/(1+0.07)^33</f>
        <v>769684.0542394747</v>
      </c>
      <c r="U36" s="5">
        <f t="shared" si="13"/>
        <v>35689193.145130463</v>
      </c>
      <c r="V36" s="5">
        <f t="shared" si="12"/>
        <v>26766894.858847849</v>
      </c>
      <c r="X36" s="5">
        <f>W36/(1+0.07)^33</f>
        <v>0</v>
      </c>
    </row>
    <row r="38" spans="1:24" x14ac:dyDescent="0.3">
      <c r="C38" s="2">
        <f>SUM(C7:C37)</f>
        <v>490585.86714302312</v>
      </c>
      <c r="E38" s="2">
        <f>SUM(E7:E37)</f>
        <v>158071.15296697678</v>
      </c>
      <c r="F38" s="1">
        <f>SUM(F7:F37)</f>
        <v>487790079.12271988</v>
      </c>
      <c r="G38" s="5"/>
      <c r="H38" s="5"/>
      <c r="I38" s="5"/>
      <c r="J38" s="5"/>
      <c r="K38" s="5"/>
      <c r="L38" s="5"/>
      <c r="M38" s="5"/>
      <c r="N38" s="11">
        <f>SUM(N7:N37)</f>
        <v>32759512.570497215</v>
      </c>
      <c r="O38" s="5">
        <f>SUM(O7:O37)</f>
        <v>3452709.196866761</v>
      </c>
      <c r="P38" s="5"/>
      <c r="Q38" s="5"/>
      <c r="R38" s="5"/>
      <c r="S38" s="5"/>
      <c r="T38" s="5">
        <f>SUM(T7:T37)</f>
        <v>34267069.235871255</v>
      </c>
      <c r="U38" s="5">
        <f>SUM(U7:U36)</f>
        <v>658448982.04150558</v>
      </c>
      <c r="V38" s="5">
        <f>SUM(V7:V37)</f>
        <v>493836736.53112906</v>
      </c>
      <c r="X38" s="5">
        <f>SUM(X5:X6)</f>
        <v>25018435.997756813</v>
      </c>
    </row>
    <row r="41" spans="1:24" x14ac:dyDescent="0.3">
      <c r="W41" s="5" t="s">
        <v>3</v>
      </c>
      <c r="X41" s="5">
        <f>SUM(0.4*X38)/(1+0.07)^33</f>
        <v>1073137.7797324422</v>
      </c>
    </row>
  </sheetData>
  <pageMargins left="0.7" right="0.7" top="0.75" bottom="0.75" header="0.3" footer="0.3"/>
  <pageSetup scale="71" fitToWidth="3" orientation="landscape" horizontalDpi="1200" verticalDpi="1200" r:id="rId1"/>
  <ignoredErrors>
    <ignoredError sqref="X13 X21 X26 X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FDF8-822D-427D-B4CD-362B52DD324B}">
  <sheetPr>
    <pageSetUpPr fitToPage="1"/>
  </sheetPr>
  <dimension ref="A1:B24"/>
  <sheetViews>
    <sheetView tabSelected="1" workbookViewId="0">
      <selection activeCell="A25" sqref="A25"/>
    </sheetView>
  </sheetViews>
  <sheetFormatPr defaultRowHeight="14.4" x14ac:dyDescent="0.3"/>
  <sheetData>
    <row r="1" spans="1:2" x14ac:dyDescent="0.3">
      <c r="A1" t="s">
        <v>20</v>
      </c>
      <c r="B1" t="s">
        <v>64</v>
      </c>
    </row>
    <row r="2" spans="1:2" x14ac:dyDescent="0.3">
      <c r="B2" t="s">
        <v>65</v>
      </c>
    </row>
    <row r="4" spans="1:2" x14ac:dyDescent="0.3">
      <c r="A4" t="s">
        <v>24</v>
      </c>
      <c r="B4" t="s">
        <v>25</v>
      </c>
    </row>
    <row r="5" spans="1:2" x14ac:dyDescent="0.3">
      <c r="A5" t="s">
        <v>26</v>
      </c>
      <c r="B5" t="s">
        <v>27</v>
      </c>
    </row>
    <row r="6" spans="1:2" x14ac:dyDescent="0.3">
      <c r="A6" t="s">
        <v>28</v>
      </c>
      <c r="B6" t="s">
        <v>29</v>
      </c>
    </row>
    <row r="7" spans="1:2" x14ac:dyDescent="0.3">
      <c r="A7" t="s">
        <v>30</v>
      </c>
      <c r="B7" t="s">
        <v>31</v>
      </c>
    </row>
    <row r="8" spans="1:2" x14ac:dyDescent="0.3">
      <c r="A8" t="s">
        <v>32</v>
      </c>
      <c r="B8" t="s">
        <v>33</v>
      </c>
    </row>
    <row r="9" spans="1:2" x14ac:dyDescent="0.3">
      <c r="A9" t="s">
        <v>34</v>
      </c>
      <c r="B9" t="s">
        <v>42</v>
      </c>
    </row>
    <row r="10" spans="1:2" x14ac:dyDescent="0.3">
      <c r="A10" t="s">
        <v>35</v>
      </c>
      <c r="B10" t="s">
        <v>43</v>
      </c>
    </row>
    <row r="11" spans="1:2" x14ac:dyDescent="0.3">
      <c r="A11" t="s">
        <v>36</v>
      </c>
      <c r="B11" t="s">
        <v>44</v>
      </c>
    </row>
    <row r="12" spans="1:2" x14ac:dyDescent="0.3">
      <c r="A12" t="s">
        <v>37</v>
      </c>
      <c r="B12" t="s">
        <v>41</v>
      </c>
    </row>
    <row r="13" spans="1:2" x14ac:dyDescent="0.3">
      <c r="A13" t="s">
        <v>38</v>
      </c>
      <c r="B13" t="s">
        <v>45</v>
      </c>
    </row>
    <row r="14" spans="1:2" x14ac:dyDescent="0.3">
      <c r="A14" t="s">
        <v>39</v>
      </c>
      <c r="B14" t="s">
        <v>46</v>
      </c>
    </row>
    <row r="15" spans="1:2" x14ac:dyDescent="0.3">
      <c r="A15" t="s">
        <v>40</v>
      </c>
      <c r="B15" t="s">
        <v>47</v>
      </c>
    </row>
    <row r="16" spans="1:2" x14ac:dyDescent="0.3">
      <c r="A16" t="s">
        <v>48</v>
      </c>
      <c r="B16" t="s">
        <v>49</v>
      </c>
    </row>
    <row r="17" spans="1:2" x14ac:dyDescent="0.3">
      <c r="A17" t="s">
        <v>50</v>
      </c>
      <c r="B17" t="s">
        <v>55</v>
      </c>
    </row>
    <row r="18" spans="1:2" x14ac:dyDescent="0.3">
      <c r="A18" t="s">
        <v>51</v>
      </c>
      <c r="B18" t="s">
        <v>56</v>
      </c>
    </row>
    <row r="19" spans="1:2" x14ac:dyDescent="0.3">
      <c r="A19" t="s">
        <v>52</v>
      </c>
      <c r="B19" t="s">
        <v>58</v>
      </c>
    </row>
    <row r="20" spans="1:2" x14ac:dyDescent="0.3">
      <c r="A20" t="s">
        <v>53</v>
      </c>
      <c r="B20" t="s">
        <v>59</v>
      </c>
    </row>
    <row r="21" spans="1:2" x14ac:dyDescent="0.3">
      <c r="A21" t="s">
        <v>54</v>
      </c>
      <c r="B21" t="s">
        <v>60</v>
      </c>
    </row>
    <row r="22" spans="1:2" x14ac:dyDescent="0.3">
      <c r="A22" t="s">
        <v>62</v>
      </c>
      <c r="B22" t="s">
        <v>61</v>
      </c>
    </row>
    <row r="23" spans="1:2" x14ac:dyDescent="0.3">
      <c r="A23" t="s">
        <v>71</v>
      </c>
      <c r="B23" t="s">
        <v>72</v>
      </c>
    </row>
    <row r="24" spans="1:2" x14ac:dyDescent="0.3">
      <c r="A24" t="s">
        <v>73</v>
      </c>
      <c r="B24" t="s">
        <v>74</v>
      </c>
    </row>
  </sheetData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BCA</vt:lpstr>
      <vt:lpstr>Explaination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Lindholm</dc:creator>
  <cp:lastModifiedBy>Bruce Lindholm</cp:lastModifiedBy>
  <cp:lastPrinted>2021-07-07T15:40:00Z</cp:lastPrinted>
  <dcterms:created xsi:type="dcterms:W3CDTF">2021-05-12T19:38:12Z</dcterms:created>
  <dcterms:modified xsi:type="dcterms:W3CDTF">2022-05-22T22:48:44Z</dcterms:modified>
</cp:coreProperties>
</file>