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knbltdcom-my.sharepoint.com/personal/will_knbltd_com/Documents/Desktop/FY22 RAISE/Final Docs to Submit/"/>
    </mc:Choice>
  </mc:AlternateContent>
  <xr:revisionPtr revIDLastSave="1" documentId="8_{585DBE2D-EC25-4783-92AB-0F9543FC7E0E}" xr6:coauthVersionLast="47" xr6:coauthVersionMax="47" xr10:uidLastSave="{1F64DF6B-FD33-42A1-A602-365EFDCEE8AB}"/>
  <bookViews>
    <workbookView xWindow="7185" yWindow="795" windowWidth="26010" windowHeight="17715" xr2:uid="{E851ADD4-43E3-42B2-B6E1-A48027711775}"/>
  </bookViews>
  <sheets>
    <sheet name="BCA" sheetId="1" r:id="rId1"/>
    <sheet name="Explan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8" i="1" l="1"/>
  <c r="AL8" i="1"/>
  <c r="AL9" i="1"/>
  <c r="AL10" i="1"/>
  <c r="AL11" i="1"/>
  <c r="AL12" i="1"/>
  <c r="AL13" i="1"/>
  <c r="AL14" i="1"/>
  <c r="AL15" i="1"/>
  <c r="AL16" i="1"/>
  <c r="AL17" i="1"/>
  <c r="AL18" i="1"/>
  <c r="AL19" i="1"/>
  <c r="AL20" i="1"/>
  <c r="AL21" i="1"/>
  <c r="AL23" i="1"/>
  <c r="AL24" i="1"/>
  <c r="AL25" i="1"/>
  <c r="AL26" i="1"/>
  <c r="AL27" i="1"/>
  <c r="AL28" i="1"/>
  <c r="AL29" i="1"/>
  <c r="AL30" i="1"/>
  <c r="AL31" i="1"/>
  <c r="AL32" i="1"/>
  <c r="AL33" i="1"/>
  <c r="AL34" i="1"/>
  <c r="AL35" i="1"/>
  <c r="AL36" i="1"/>
  <c r="AL7" i="1"/>
  <c r="AK23" i="1"/>
  <c r="AK24" i="1"/>
  <c r="AK25" i="1"/>
  <c r="AK26" i="1"/>
  <c r="AK27" i="1"/>
  <c r="AK28" i="1"/>
  <c r="AK29" i="1"/>
  <c r="AK30" i="1"/>
  <c r="AK31" i="1"/>
  <c r="AK32" i="1"/>
  <c r="AK33" i="1"/>
  <c r="AK34" i="1"/>
  <c r="AK35" i="1"/>
  <c r="AK36" i="1"/>
  <c r="AK14" i="1"/>
  <c r="AK15" i="1"/>
  <c r="AK16" i="1"/>
  <c r="AK17" i="1"/>
  <c r="AK18" i="1"/>
  <c r="AK19" i="1"/>
  <c r="AK20" i="1"/>
  <c r="AK21" i="1"/>
  <c r="AK22" i="1"/>
  <c r="AL22" i="1" s="1"/>
  <c r="AL38" i="1" s="1"/>
  <c r="AK13" i="1"/>
  <c r="AH8" i="1"/>
  <c r="AH9" i="1" s="1"/>
  <c r="F8" i="1"/>
  <c r="F7" i="1"/>
  <c r="AG5" i="1"/>
  <c r="AG6" i="1"/>
  <c r="AQ8" i="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B9" i="1"/>
  <c r="F9" i="1" s="1"/>
  <c r="AK38" i="1" l="1"/>
  <c r="AI8" i="1"/>
  <c r="AH10" i="1"/>
  <c r="AI9" i="1"/>
  <c r="B10" i="1"/>
  <c r="AG38" i="1"/>
  <c r="AG41" i="1" l="1"/>
  <c r="AN5" i="1"/>
  <c r="AH11" i="1"/>
  <c r="AI10" i="1"/>
  <c r="B11" i="1"/>
  <c r="F10" i="1"/>
  <c r="AH12" i="1" l="1"/>
  <c r="AI11" i="1"/>
  <c r="B12" i="1"/>
  <c r="F11" i="1"/>
  <c r="AH13" i="1" l="1"/>
  <c r="AI12" i="1"/>
  <c r="B13" i="1"/>
  <c r="F12" i="1"/>
  <c r="N8" i="1"/>
  <c r="O7" i="1"/>
  <c r="E8" i="1"/>
  <c r="E7" i="1"/>
  <c r="E9" i="1"/>
  <c r="AH14" i="1" l="1"/>
  <c r="AI13" i="1"/>
  <c r="P7" i="1"/>
  <c r="U7" i="1" s="1"/>
  <c r="B14" i="1"/>
  <c r="F13" i="1"/>
  <c r="N9" i="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T7" i="1"/>
  <c r="Q7" i="1"/>
  <c r="R7" i="1" s="1"/>
  <c r="O8" i="1"/>
  <c r="P8" i="1" s="1"/>
  <c r="AB8" i="1" s="1"/>
  <c r="AM6" i="1"/>
  <c r="C8" i="1"/>
  <c r="C7"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H15" i="1" l="1"/>
  <c r="AI14" i="1"/>
  <c r="V7" i="1"/>
  <c r="X7" i="1" s="1"/>
  <c r="Z7" i="1"/>
  <c r="S7" i="1"/>
  <c r="W7" i="1" s="1"/>
  <c r="AB7" i="1"/>
  <c r="AA7" i="1"/>
  <c r="N38" i="1"/>
  <c r="B15" i="1"/>
  <c r="F14" i="1"/>
  <c r="U8" i="1"/>
  <c r="V8" i="1"/>
  <c r="X8" i="1" s="1"/>
  <c r="Z8" i="1"/>
  <c r="S8" i="1"/>
  <c r="AA8" i="1"/>
  <c r="T8" i="1"/>
  <c r="Q8" i="1"/>
  <c r="R8" i="1" s="1"/>
  <c r="J8" i="1"/>
  <c r="D8" i="1"/>
  <c r="G8" i="1"/>
  <c r="H8" i="1"/>
  <c r="I8" i="1"/>
  <c r="I7" i="1"/>
  <c r="G7" i="1"/>
  <c r="J7" i="1"/>
  <c r="D7" i="1"/>
  <c r="H7" i="1"/>
  <c r="AM5" i="1"/>
  <c r="AP5" i="1"/>
  <c r="O9" i="1"/>
  <c r="P9" i="1" s="1"/>
  <c r="E10" i="1"/>
  <c r="C9" i="1"/>
  <c r="C10" i="1"/>
  <c r="AO5" i="1" l="1"/>
  <c r="AR5" i="1"/>
  <c r="AC7" i="1"/>
  <c r="AH16" i="1"/>
  <c r="AI15" i="1"/>
  <c r="AC8" i="1"/>
  <c r="AD8" i="1" s="1"/>
  <c r="AD7" i="1"/>
  <c r="B16" i="1"/>
  <c r="F15" i="1"/>
  <c r="W8" i="1"/>
  <c r="Y8" i="1" s="1"/>
  <c r="AA9" i="1"/>
  <c r="U9" i="1"/>
  <c r="Q9" i="1"/>
  <c r="R9" i="1" s="1"/>
  <c r="V9" i="1"/>
  <c r="X9" i="1" s="1"/>
  <c r="S9" i="1"/>
  <c r="Z9" i="1"/>
  <c r="T9" i="1"/>
  <c r="J9" i="1"/>
  <c r="G9" i="1"/>
  <c r="D9" i="1"/>
  <c r="H9" i="1"/>
  <c r="I9" i="1"/>
  <c r="Y7" i="1"/>
  <c r="G10" i="1"/>
  <c r="H10" i="1"/>
  <c r="I10" i="1"/>
  <c r="J10" i="1"/>
  <c r="D10" i="1"/>
  <c r="AB9" i="1"/>
  <c r="K8" i="1"/>
  <c r="L8" i="1" s="1"/>
  <c r="M8" i="1" s="1"/>
  <c r="K7" i="1"/>
  <c r="L7" i="1" s="1"/>
  <c r="O10" i="1"/>
  <c r="E11" i="1"/>
  <c r="C11" i="1"/>
  <c r="AH17" i="1" l="1"/>
  <c r="AI16" i="1"/>
  <c r="AE8" i="1"/>
  <c r="AM8" i="1" s="1"/>
  <c r="AE7" i="1"/>
  <c r="P10" i="1"/>
  <c r="V10" i="1" s="1"/>
  <c r="X10" i="1" s="1"/>
  <c r="B17" i="1"/>
  <c r="F16" i="1"/>
  <c r="M7" i="1"/>
  <c r="D11" i="1"/>
  <c r="G11" i="1"/>
  <c r="H11" i="1"/>
  <c r="I11" i="1"/>
  <c r="J11" i="1"/>
  <c r="AC9" i="1"/>
  <c r="W9" i="1"/>
  <c r="Y9" i="1" s="1"/>
  <c r="O11" i="1"/>
  <c r="P11" i="1" s="1"/>
  <c r="E12" i="1"/>
  <c r="K10" i="1"/>
  <c r="L10" i="1" s="1"/>
  <c r="M10" i="1" s="1"/>
  <c r="K9" i="1"/>
  <c r="L9" i="1" s="1"/>
  <c r="M9" i="1" s="1"/>
  <c r="C12" i="1"/>
  <c r="AA10" i="1" l="1"/>
  <c r="AH18" i="1"/>
  <c r="AI17" i="1"/>
  <c r="U10" i="1"/>
  <c r="Z10" i="1"/>
  <c r="AB10" i="1"/>
  <c r="T10" i="1"/>
  <c r="AM7" i="1"/>
  <c r="S10" i="1"/>
  <c r="Q10" i="1"/>
  <c r="R10" i="1" s="1"/>
  <c r="AD9" i="1"/>
  <c r="B18" i="1"/>
  <c r="F17" i="1"/>
  <c r="G12" i="1"/>
  <c r="H12" i="1"/>
  <c r="D12" i="1"/>
  <c r="I12" i="1"/>
  <c r="J12" i="1"/>
  <c r="Z11" i="1"/>
  <c r="V11" i="1"/>
  <c r="X11" i="1" s="1"/>
  <c r="AA11" i="1"/>
  <c r="S11" i="1"/>
  <c r="Q11" i="1"/>
  <c r="R11" i="1" s="1"/>
  <c r="T11" i="1"/>
  <c r="U11" i="1"/>
  <c r="AB11" i="1"/>
  <c r="O12" i="1"/>
  <c r="E13" i="1"/>
  <c r="K11" i="1"/>
  <c r="C13" i="1"/>
  <c r="AC10" i="1" l="1"/>
  <c r="AD10" i="1" s="1"/>
  <c r="AH19" i="1"/>
  <c r="AI18" i="1"/>
  <c r="W10" i="1"/>
  <c r="Y10" i="1" s="1"/>
  <c r="P12" i="1"/>
  <c r="U12" i="1" s="1"/>
  <c r="F18" i="1"/>
  <c r="B19" i="1"/>
  <c r="AE9" i="1"/>
  <c r="AM9" i="1" s="1"/>
  <c r="L11" i="1"/>
  <c r="M11" i="1" s="1"/>
  <c r="H13" i="1"/>
  <c r="I13" i="1"/>
  <c r="D13" i="1"/>
  <c r="J13" i="1"/>
  <c r="G13" i="1"/>
  <c r="AA12" i="1"/>
  <c r="AC11" i="1"/>
  <c r="AD11" i="1" s="1"/>
  <c r="W11" i="1"/>
  <c r="Y11" i="1" s="1"/>
  <c r="O13" i="1"/>
  <c r="P13" i="1" s="1"/>
  <c r="E14" i="1"/>
  <c r="K12" i="1"/>
  <c r="L12" i="1" s="1"/>
  <c r="M12" i="1" s="1"/>
  <c r="C14" i="1"/>
  <c r="Q12" i="1" l="1"/>
  <c r="R12" i="1" s="1"/>
  <c r="T12" i="1"/>
  <c r="AH20" i="1"/>
  <c r="AI19" i="1"/>
  <c r="S12" i="1"/>
  <c r="W12" i="1" s="1"/>
  <c r="Y12" i="1" s="1"/>
  <c r="AB12" i="1"/>
  <c r="Z12" i="1"/>
  <c r="V12" i="1"/>
  <c r="X12" i="1" s="1"/>
  <c r="B20" i="1"/>
  <c r="F19" i="1"/>
  <c r="AE11" i="1"/>
  <c r="AM11" i="1" s="1"/>
  <c r="AE10" i="1"/>
  <c r="AM10" i="1" s="1"/>
  <c r="S13" i="1"/>
  <c r="Z13" i="1"/>
  <c r="T13" i="1"/>
  <c r="AA13" i="1"/>
  <c r="Q13" i="1"/>
  <c r="R13" i="1" s="1"/>
  <c r="U13" i="1"/>
  <c r="V13" i="1"/>
  <c r="X13" i="1" s="1"/>
  <c r="I14" i="1"/>
  <c r="D14" i="1"/>
  <c r="G14" i="1"/>
  <c r="J14" i="1"/>
  <c r="H14" i="1"/>
  <c r="AB13" i="1"/>
  <c r="O14" i="1"/>
  <c r="P14" i="1" s="1"/>
  <c r="E15" i="1"/>
  <c r="K13" i="1"/>
  <c r="L13" i="1" s="1"/>
  <c r="M13" i="1" s="1"/>
  <c r="C15" i="1"/>
  <c r="AH21" i="1" l="1"/>
  <c r="AI20" i="1"/>
  <c r="AC12" i="1"/>
  <c r="AD12" i="1" s="1"/>
  <c r="F20" i="1"/>
  <c r="B21" i="1"/>
  <c r="S14" i="1"/>
  <c r="Z14" i="1"/>
  <c r="T14" i="1"/>
  <c r="AA14" i="1"/>
  <c r="V14" i="1"/>
  <c r="X14" i="1" s="1"/>
  <c r="Q14" i="1"/>
  <c r="R14" i="1" s="1"/>
  <c r="U14" i="1"/>
  <c r="I15" i="1"/>
  <c r="G15" i="1"/>
  <c r="D15" i="1"/>
  <c r="H15" i="1"/>
  <c r="J15" i="1"/>
  <c r="AB14" i="1"/>
  <c r="AC13" i="1"/>
  <c r="W13" i="1"/>
  <c r="Y13" i="1" s="1"/>
  <c r="O15" i="1"/>
  <c r="P15" i="1" s="1"/>
  <c r="E16" i="1"/>
  <c r="K14" i="1"/>
  <c r="L14" i="1" s="1"/>
  <c r="M14" i="1" s="1"/>
  <c r="C16" i="1"/>
  <c r="AH22" i="1" l="1"/>
  <c r="AI21" i="1"/>
  <c r="AE12" i="1"/>
  <c r="AM12" i="1" s="1"/>
  <c r="F21" i="1"/>
  <c r="B22" i="1"/>
  <c r="AD13" i="1"/>
  <c r="J16" i="1"/>
  <c r="G16" i="1"/>
  <c r="D16" i="1"/>
  <c r="H16" i="1"/>
  <c r="I16" i="1"/>
  <c r="S15" i="1"/>
  <c r="Z15" i="1"/>
  <c r="V15" i="1"/>
  <c r="X15" i="1" s="1"/>
  <c r="T15" i="1"/>
  <c r="AA15" i="1"/>
  <c r="Q15" i="1"/>
  <c r="R15" i="1" s="1"/>
  <c r="U15" i="1"/>
  <c r="AC14" i="1"/>
  <c r="AB15" i="1"/>
  <c r="W14" i="1"/>
  <c r="Y14" i="1" s="1"/>
  <c r="O16" i="1"/>
  <c r="P16" i="1" s="1"/>
  <c r="E17" i="1"/>
  <c r="K15" i="1"/>
  <c r="L15" i="1" s="1"/>
  <c r="M15" i="1" s="1"/>
  <c r="C17" i="1"/>
  <c r="AH23" i="1" l="1"/>
  <c r="AI22" i="1"/>
  <c r="F22" i="1"/>
  <c r="B23" i="1"/>
  <c r="AE13" i="1"/>
  <c r="AM13" i="1" s="1"/>
  <c r="U16" i="1"/>
  <c r="V16" i="1"/>
  <c r="X16" i="1" s="1"/>
  <c r="S16" i="1"/>
  <c r="Z16" i="1"/>
  <c r="T16" i="1"/>
  <c r="AA16" i="1"/>
  <c r="Q16" i="1"/>
  <c r="R16" i="1" s="1"/>
  <c r="AD14" i="1"/>
  <c r="AE14" i="1" s="1"/>
  <c r="AM14" i="1" s="1"/>
  <c r="J17" i="1"/>
  <c r="D17" i="1"/>
  <c r="G17" i="1"/>
  <c r="H17" i="1"/>
  <c r="I17" i="1"/>
  <c r="AC15" i="1"/>
  <c r="AB16" i="1"/>
  <c r="W15" i="1"/>
  <c r="O17" i="1"/>
  <c r="P17" i="1" s="1"/>
  <c r="E18" i="1"/>
  <c r="K16" i="1"/>
  <c r="L16" i="1" s="1"/>
  <c r="M16" i="1" s="1"/>
  <c r="C18" i="1"/>
  <c r="AH24" i="1" l="1"/>
  <c r="AI23" i="1"/>
  <c r="F23" i="1"/>
  <c r="B24" i="1"/>
  <c r="Y15" i="1"/>
  <c r="AA17" i="1"/>
  <c r="Q17" i="1"/>
  <c r="R17" i="1" s="1"/>
  <c r="U17" i="1"/>
  <c r="V17" i="1"/>
  <c r="X17" i="1" s="1"/>
  <c r="S17" i="1"/>
  <c r="Z17" i="1"/>
  <c r="T17" i="1"/>
  <c r="AD15" i="1"/>
  <c r="J18" i="1"/>
  <c r="G18" i="1"/>
  <c r="H18" i="1"/>
  <c r="I18" i="1"/>
  <c r="D18" i="1"/>
  <c r="AC16" i="1"/>
  <c r="AB17" i="1"/>
  <c r="W16" i="1"/>
  <c r="Y16" i="1" s="1"/>
  <c r="O18" i="1"/>
  <c r="P18" i="1" s="1"/>
  <c r="E19" i="1"/>
  <c r="K17" i="1"/>
  <c r="L17" i="1" s="1"/>
  <c r="M17" i="1" s="1"/>
  <c r="C19" i="1"/>
  <c r="AH25" i="1" l="1"/>
  <c r="AI24" i="1"/>
  <c r="F24" i="1"/>
  <c r="B25" i="1"/>
  <c r="AE15" i="1"/>
  <c r="AM15" i="1" s="1"/>
  <c r="T18" i="1"/>
  <c r="AA18" i="1"/>
  <c r="V18" i="1"/>
  <c r="X18" i="1" s="1"/>
  <c r="Q18" i="1"/>
  <c r="R18" i="1" s="1"/>
  <c r="U18" i="1"/>
  <c r="S18" i="1"/>
  <c r="Z18" i="1"/>
  <c r="AD16" i="1"/>
  <c r="AE16" i="1" s="1"/>
  <c r="AM16" i="1" s="1"/>
  <c r="G19" i="1"/>
  <c r="H19" i="1"/>
  <c r="J19" i="1"/>
  <c r="I19" i="1"/>
  <c r="D19" i="1"/>
  <c r="AC17" i="1"/>
  <c r="AB18" i="1"/>
  <c r="W17" i="1"/>
  <c r="Y17" i="1" s="1"/>
  <c r="O19" i="1"/>
  <c r="P19" i="1" s="1"/>
  <c r="E20" i="1"/>
  <c r="K18" i="1"/>
  <c r="L18" i="1" s="1"/>
  <c r="M18" i="1" s="1"/>
  <c r="C20" i="1"/>
  <c r="AH26" i="1" l="1"/>
  <c r="AI25" i="1"/>
  <c r="F25" i="1"/>
  <c r="B26" i="1"/>
  <c r="AD17" i="1"/>
  <c r="G20" i="1"/>
  <c r="H20" i="1"/>
  <c r="D20" i="1"/>
  <c r="I20" i="1"/>
  <c r="J20" i="1"/>
  <c r="Z19" i="1"/>
  <c r="V19" i="1"/>
  <c r="X19" i="1" s="1"/>
  <c r="T19" i="1"/>
  <c r="AA19" i="1"/>
  <c r="Q19" i="1"/>
  <c r="R19" i="1" s="1"/>
  <c r="U19" i="1"/>
  <c r="S19" i="1"/>
  <c r="AC18" i="1"/>
  <c r="AB19" i="1"/>
  <c r="W18" i="1"/>
  <c r="Y18" i="1" s="1"/>
  <c r="O20" i="1"/>
  <c r="P20" i="1" s="1"/>
  <c r="E21" i="1"/>
  <c r="K19" i="1"/>
  <c r="L19" i="1" s="1"/>
  <c r="M19" i="1" s="1"/>
  <c r="C21" i="1"/>
  <c r="AH27" i="1" l="1"/>
  <c r="AI26" i="1"/>
  <c r="F26" i="1"/>
  <c r="B27" i="1"/>
  <c r="AE17" i="1"/>
  <c r="AM17" i="1" s="1"/>
  <c r="S20" i="1"/>
  <c r="Z20" i="1"/>
  <c r="T20" i="1"/>
  <c r="AA20" i="1"/>
  <c r="Q20" i="1"/>
  <c r="R20" i="1" s="1"/>
  <c r="U20" i="1"/>
  <c r="V20" i="1"/>
  <c r="X20" i="1" s="1"/>
  <c r="AD18" i="1"/>
  <c r="H21" i="1"/>
  <c r="I21" i="1"/>
  <c r="D21" i="1"/>
  <c r="J21" i="1"/>
  <c r="G21" i="1"/>
  <c r="AB20" i="1"/>
  <c r="AC19" i="1"/>
  <c r="W19" i="1"/>
  <c r="Y19" i="1" s="1"/>
  <c r="O21" i="1"/>
  <c r="P21" i="1" s="1"/>
  <c r="E22" i="1"/>
  <c r="K20" i="1"/>
  <c r="L20" i="1" s="1"/>
  <c r="M20" i="1" s="1"/>
  <c r="C22" i="1"/>
  <c r="AH28" i="1" l="1"/>
  <c r="AI27" i="1"/>
  <c r="F27" i="1"/>
  <c r="B28" i="1"/>
  <c r="AE18" i="1"/>
  <c r="AM18" i="1" s="1"/>
  <c r="S21" i="1"/>
  <c r="Z21" i="1"/>
  <c r="T21" i="1"/>
  <c r="AA21" i="1"/>
  <c r="Q21" i="1"/>
  <c r="R21" i="1" s="1"/>
  <c r="U21" i="1"/>
  <c r="V21" i="1"/>
  <c r="X21" i="1" s="1"/>
  <c r="AD19" i="1"/>
  <c r="I22" i="1"/>
  <c r="G22" i="1"/>
  <c r="D22" i="1"/>
  <c r="J22" i="1"/>
  <c r="H22" i="1"/>
  <c r="AB21" i="1"/>
  <c r="AC20" i="1"/>
  <c r="W20" i="1"/>
  <c r="Y20" i="1" s="1"/>
  <c r="O22" i="1"/>
  <c r="P22" i="1" s="1"/>
  <c r="E23" i="1"/>
  <c r="K21" i="1"/>
  <c r="L21" i="1" s="1"/>
  <c r="M21" i="1" s="1"/>
  <c r="C23" i="1"/>
  <c r="AH29" i="1" l="1"/>
  <c r="AI28" i="1"/>
  <c r="F28" i="1"/>
  <c r="B29" i="1"/>
  <c r="AE19" i="1"/>
  <c r="AM19" i="1" s="1"/>
  <c r="I23" i="1"/>
  <c r="G23" i="1"/>
  <c r="D23" i="1"/>
  <c r="H23" i="1"/>
  <c r="J23" i="1"/>
  <c r="S22" i="1"/>
  <c r="Z22" i="1"/>
  <c r="T22" i="1"/>
  <c r="AA22" i="1"/>
  <c r="V22" i="1"/>
  <c r="X22" i="1" s="1"/>
  <c r="Q22" i="1"/>
  <c r="R22" i="1" s="1"/>
  <c r="U22" i="1"/>
  <c r="AD20" i="1"/>
  <c r="AE20" i="1" s="1"/>
  <c r="AM20" i="1" s="1"/>
  <c r="AB22" i="1"/>
  <c r="AC21" i="1"/>
  <c r="W21" i="1"/>
  <c r="Y21" i="1" s="1"/>
  <c r="O23" i="1"/>
  <c r="P23" i="1" s="1"/>
  <c r="E24" i="1"/>
  <c r="K22" i="1"/>
  <c r="L22" i="1" s="1"/>
  <c r="M22" i="1" s="1"/>
  <c r="C24" i="1"/>
  <c r="AH30" i="1" l="1"/>
  <c r="AI29" i="1"/>
  <c r="F29" i="1"/>
  <c r="B30" i="1"/>
  <c r="S23" i="1"/>
  <c r="Z23" i="1"/>
  <c r="V23" i="1"/>
  <c r="X23" i="1" s="1"/>
  <c r="T23" i="1"/>
  <c r="AA23" i="1"/>
  <c r="Q23" i="1"/>
  <c r="R23" i="1" s="1"/>
  <c r="U23" i="1"/>
  <c r="AD21" i="1"/>
  <c r="AE21" i="1" s="1"/>
  <c r="AM21" i="1" s="1"/>
  <c r="J24" i="1"/>
  <c r="D24" i="1"/>
  <c r="G24" i="1"/>
  <c r="H24" i="1"/>
  <c r="I24" i="1"/>
  <c r="AC22" i="1"/>
  <c r="W22" i="1"/>
  <c r="Y22" i="1" s="1"/>
  <c r="AB23" i="1"/>
  <c r="O24" i="1"/>
  <c r="P24" i="1" s="1"/>
  <c r="E25" i="1"/>
  <c r="K23" i="1"/>
  <c r="L23" i="1" s="1"/>
  <c r="M23" i="1" s="1"/>
  <c r="C25" i="1"/>
  <c r="AH31" i="1" l="1"/>
  <c r="AI30" i="1"/>
  <c r="F30" i="1"/>
  <c r="B31" i="1"/>
  <c r="J25" i="1"/>
  <c r="G25" i="1"/>
  <c r="D25" i="1"/>
  <c r="H25" i="1"/>
  <c r="I25" i="1"/>
  <c r="U24" i="1"/>
  <c r="V24" i="1"/>
  <c r="X24" i="1" s="1"/>
  <c r="S24" i="1"/>
  <c r="Z24" i="1"/>
  <c r="T24" i="1"/>
  <c r="AA24" i="1"/>
  <c r="Q24" i="1"/>
  <c r="R24" i="1" s="1"/>
  <c r="AD22" i="1"/>
  <c r="AE22" i="1" s="1"/>
  <c r="AM22" i="1" s="1"/>
  <c r="AC23" i="1"/>
  <c r="AB24" i="1"/>
  <c r="W23" i="1"/>
  <c r="Y23" i="1" s="1"/>
  <c r="O25" i="1"/>
  <c r="P25" i="1" s="1"/>
  <c r="E26" i="1"/>
  <c r="K24" i="1"/>
  <c r="L24" i="1" s="1"/>
  <c r="M24" i="1" s="1"/>
  <c r="C26" i="1"/>
  <c r="AH32" i="1" l="1"/>
  <c r="AI31" i="1"/>
  <c r="F31" i="1"/>
  <c r="B32" i="1"/>
  <c r="J26" i="1"/>
  <c r="G26" i="1"/>
  <c r="H26" i="1"/>
  <c r="I26" i="1"/>
  <c r="D26" i="1"/>
  <c r="AA25" i="1"/>
  <c r="Q25" i="1"/>
  <c r="R25" i="1" s="1"/>
  <c r="U25" i="1"/>
  <c r="V25" i="1"/>
  <c r="X25" i="1" s="1"/>
  <c r="S25" i="1"/>
  <c r="Z25" i="1"/>
  <c r="T25" i="1"/>
  <c r="AD23" i="1"/>
  <c r="AC24" i="1"/>
  <c r="AB25" i="1"/>
  <c r="W24" i="1"/>
  <c r="O26" i="1"/>
  <c r="P26" i="1" s="1"/>
  <c r="Z26" i="1" s="1"/>
  <c r="E27" i="1"/>
  <c r="K25" i="1"/>
  <c r="L25" i="1" s="1"/>
  <c r="M25" i="1" s="1"/>
  <c r="C27" i="1"/>
  <c r="AH33" i="1" l="1"/>
  <c r="AI32" i="1"/>
  <c r="F32" i="1"/>
  <c r="B33" i="1"/>
  <c r="AE23" i="1"/>
  <c r="AM23" i="1" s="1"/>
  <c r="D27" i="1"/>
  <c r="G27" i="1"/>
  <c r="H27" i="1"/>
  <c r="J27" i="1"/>
  <c r="I27" i="1"/>
  <c r="Y24" i="1"/>
  <c r="T26" i="1"/>
  <c r="AA26" i="1"/>
  <c r="V26" i="1"/>
  <c r="X26" i="1" s="1"/>
  <c r="Q26" i="1"/>
  <c r="R26" i="1" s="1"/>
  <c r="U26" i="1"/>
  <c r="S26" i="1"/>
  <c r="AD24" i="1"/>
  <c r="AC25" i="1"/>
  <c r="AB26" i="1"/>
  <c r="W25" i="1"/>
  <c r="Y25" i="1" s="1"/>
  <c r="O27" i="1"/>
  <c r="P27" i="1" s="1"/>
  <c r="E28" i="1"/>
  <c r="K26" i="1"/>
  <c r="L26" i="1" s="1"/>
  <c r="M26" i="1" s="1"/>
  <c r="C28" i="1"/>
  <c r="AH34" i="1" l="1"/>
  <c r="AI33" i="1"/>
  <c r="F33" i="1"/>
  <c r="B34" i="1"/>
  <c r="AE24" i="1"/>
  <c r="AM24" i="1" s="1"/>
  <c r="Z27" i="1"/>
  <c r="V27" i="1"/>
  <c r="X27" i="1" s="1"/>
  <c r="T27" i="1"/>
  <c r="AA27" i="1"/>
  <c r="Q27" i="1"/>
  <c r="R27" i="1" s="1"/>
  <c r="U27" i="1"/>
  <c r="S27" i="1"/>
  <c r="AD25" i="1"/>
  <c r="G28" i="1"/>
  <c r="H28" i="1"/>
  <c r="D28" i="1"/>
  <c r="J28" i="1"/>
  <c r="I28" i="1"/>
  <c r="AC26" i="1"/>
  <c r="AB27" i="1"/>
  <c r="W26" i="1"/>
  <c r="Y26" i="1" s="1"/>
  <c r="O28" i="1"/>
  <c r="P28" i="1" s="1"/>
  <c r="E29" i="1"/>
  <c r="C29" i="1"/>
  <c r="K27" i="1"/>
  <c r="L27" i="1" s="1"/>
  <c r="M27" i="1" s="1"/>
  <c r="AH35" i="1" l="1"/>
  <c r="AI34" i="1"/>
  <c r="F34" i="1"/>
  <c r="B35" i="1"/>
  <c r="AE25" i="1"/>
  <c r="AM25" i="1" s="1"/>
  <c r="H29" i="1"/>
  <c r="I29" i="1"/>
  <c r="D29" i="1"/>
  <c r="J29" i="1"/>
  <c r="G29" i="1"/>
  <c r="AD26" i="1"/>
  <c r="AE26" i="1" s="1"/>
  <c r="AM26" i="1" s="1"/>
  <c r="S28" i="1"/>
  <c r="Z28" i="1"/>
  <c r="T28" i="1"/>
  <c r="AA28" i="1"/>
  <c r="Q28" i="1"/>
  <c r="R28" i="1" s="1"/>
  <c r="U28" i="1"/>
  <c r="V28" i="1"/>
  <c r="X28" i="1" s="1"/>
  <c r="AC27" i="1"/>
  <c r="AB28" i="1"/>
  <c r="W27" i="1"/>
  <c r="Y27" i="1" s="1"/>
  <c r="O29" i="1"/>
  <c r="P29" i="1" s="1"/>
  <c r="E30" i="1"/>
  <c r="K28" i="1"/>
  <c r="L28" i="1" s="1"/>
  <c r="M28" i="1" s="1"/>
  <c r="C30" i="1"/>
  <c r="AH36" i="1" l="1"/>
  <c r="AI35" i="1"/>
  <c r="F35" i="1"/>
  <c r="B36" i="1"/>
  <c r="I30" i="1"/>
  <c r="D30" i="1"/>
  <c r="J30" i="1"/>
  <c r="G30" i="1"/>
  <c r="H30" i="1"/>
  <c r="S29" i="1"/>
  <c r="Z29" i="1"/>
  <c r="T29" i="1"/>
  <c r="AA29" i="1"/>
  <c r="Q29" i="1"/>
  <c r="R29" i="1" s="1"/>
  <c r="U29" i="1"/>
  <c r="V29" i="1"/>
  <c r="X29" i="1" s="1"/>
  <c r="AD27" i="1"/>
  <c r="AE27" i="1" s="1"/>
  <c r="AM27" i="1" s="1"/>
  <c r="AB29" i="1"/>
  <c r="AC28" i="1"/>
  <c r="W28" i="1"/>
  <c r="Y28" i="1" s="1"/>
  <c r="O30" i="1"/>
  <c r="P30" i="1" s="1"/>
  <c r="E31" i="1"/>
  <c r="C31" i="1"/>
  <c r="K29" i="1"/>
  <c r="L29" i="1" s="1"/>
  <c r="M29" i="1" s="1"/>
  <c r="AI36" i="1" l="1"/>
  <c r="AI38" i="1" s="1"/>
  <c r="AH38" i="1"/>
  <c r="F36" i="1"/>
  <c r="B38" i="1"/>
  <c r="I31" i="1"/>
  <c r="D31" i="1"/>
  <c r="G31" i="1"/>
  <c r="H31" i="1"/>
  <c r="J31" i="1"/>
  <c r="S30" i="1"/>
  <c r="Z30" i="1"/>
  <c r="T30" i="1"/>
  <c r="AA30" i="1"/>
  <c r="V30" i="1"/>
  <c r="X30" i="1" s="1"/>
  <c r="Q30" i="1"/>
  <c r="R30" i="1" s="1"/>
  <c r="U30" i="1"/>
  <c r="AD28" i="1"/>
  <c r="AE28" i="1" s="1"/>
  <c r="AM28" i="1" s="1"/>
  <c r="AB30" i="1"/>
  <c r="AC29" i="1"/>
  <c r="W29" i="1"/>
  <c r="Y29" i="1" s="1"/>
  <c r="O31" i="1"/>
  <c r="P31" i="1" s="1"/>
  <c r="E32" i="1"/>
  <c r="C32" i="1"/>
  <c r="K30" i="1"/>
  <c r="L30" i="1" s="1"/>
  <c r="M30" i="1" s="1"/>
  <c r="S31" i="1" l="1"/>
  <c r="Z31" i="1"/>
  <c r="V31" i="1"/>
  <c r="X31" i="1" s="1"/>
  <c r="T31" i="1"/>
  <c r="AA31" i="1"/>
  <c r="Q31" i="1"/>
  <c r="R31" i="1" s="1"/>
  <c r="U31" i="1"/>
  <c r="J32" i="1"/>
  <c r="D32" i="1"/>
  <c r="G32" i="1"/>
  <c r="H32" i="1"/>
  <c r="I32" i="1"/>
  <c r="AD29" i="1"/>
  <c r="AE29" i="1" s="1"/>
  <c r="AM29" i="1" s="1"/>
  <c r="AC30" i="1"/>
  <c r="W30" i="1"/>
  <c r="Y30" i="1" s="1"/>
  <c r="AB31" i="1"/>
  <c r="O32" i="1"/>
  <c r="P32" i="1" s="1"/>
  <c r="E33" i="1"/>
  <c r="C33" i="1"/>
  <c r="K31" i="1"/>
  <c r="L31" i="1" s="1"/>
  <c r="M31" i="1" s="1"/>
  <c r="U32" i="1" l="1"/>
  <c r="V32" i="1"/>
  <c r="X32" i="1" s="1"/>
  <c r="S32" i="1"/>
  <c r="Z32" i="1"/>
  <c r="T32" i="1"/>
  <c r="AA32" i="1"/>
  <c r="Q32" i="1"/>
  <c r="R32" i="1" s="1"/>
  <c r="AD30" i="1"/>
  <c r="J33" i="1"/>
  <c r="G33" i="1"/>
  <c r="H33" i="1"/>
  <c r="D33" i="1"/>
  <c r="I33" i="1"/>
  <c r="AC31" i="1"/>
  <c r="AB32" i="1"/>
  <c r="W31" i="1"/>
  <c r="Y31" i="1" s="1"/>
  <c r="O33" i="1"/>
  <c r="P33" i="1" s="1"/>
  <c r="E34" i="1"/>
  <c r="C34" i="1"/>
  <c r="K32" i="1"/>
  <c r="L32" i="1" s="1"/>
  <c r="M32" i="1" s="1"/>
  <c r="AE30" i="1" l="1"/>
  <c r="AM30" i="1" s="1"/>
  <c r="J34" i="1"/>
  <c r="G34" i="1"/>
  <c r="H34" i="1"/>
  <c r="I34" i="1"/>
  <c r="D34" i="1"/>
  <c r="AA33" i="1"/>
  <c r="Q33" i="1"/>
  <c r="R33" i="1" s="1"/>
  <c r="U33" i="1"/>
  <c r="V33" i="1"/>
  <c r="X33" i="1" s="1"/>
  <c r="S33" i="1"/>
  <c r="Z33" i="1"/>
  <c r="T33" i="1"/>
  <c r="AD31" i="1"/>
  <c r="AE31" i="1" s="1"/>
  <c r="AM31" i="1" s="1"/>
  <c r="AC32" i="1"/>
  <c r="AB33" i="1"/>
  <c r="W32" i="1"/>
  <c r="Y32" i="1" s="1"/>
  <c r="O34" i="1"/>
  <c r="P34" i="1" s="1"/>
  <c r="E35" i="1"/>
  <c r="K33" i="1"/>
  <c r="L33" i="1" s="1"/>
  <c r="M33" i="1" s="1"/>
  <c r="C35" i="1"/>
  <c r="G35" i="1" l="1"/>
  <c r="H35" i="1"/>
  <c r="J35" i="1"/>
  <c r="I35" i="1"/>
  <c r="D35" i="1"/>
  <c r="AD32" i="1"/>
  <c r="T34" i="1"/>
  <c r="AA34" i="1"/>
  <c r="V34" i="1"/>
  <c r="X34" i="1" s="1"/>
  <c r="Q34" i="1"/>
  <c r="R34" i="1" s="1"/>
  <c r="U34" i="1"/>
  <c r="S34" i="1"/>
  <c r="Z34" i="1"/>
  <c r="AB34" i="1"/>
  <c r="AC33" i="1"/>
  <c r="W33" i="1"/>
  <c r="Y33" i="1" s="1"/>
  <c r="O36" i="1"/>
  <c r="O35" i="1"/>
  <c r="P35" i="1" s="1"/>
  <c r="E36" i="1"/>
  <c r="K34" i="1"/>
  <c r="L34" i="1" s="1"/>
  <c r="M34" i="1" s="1"/>
  <c r="C36" i="1"/>
  <c r="P36" i="1" l="1"/>
  <c r="V36" i="1" s="1"/>
  <c r="X36" i="1" s="1"/>
  <c r="O38" i="1"/>
  <c r="AE32" i="1"/>
  <c r="AM32" i="1" s="1"/>
  <c r="Z35" i="1"/>
  <c r="V35" i="1"/>
  <c r="X35" i="1" s="1"/>
  <c r="T35" i="1"/>
  <c r="AA35" i="1"/>
  <c r="Q35" i="1"/>
  <c r="R35" i="1" s="1"/>
  <c r="U35" i="1"/>
  <c r="S35" i="1"/>
  <c r="AD33" i="1"/>
  <c r="G36" i="1"/>
  <c r="D36" i="1"/>
  <c r="I36" i="1"/>
  <c r="J36" i="1"/>
  <c r="C38" i="1"/>
  <c r="S36" i="1"/>
  <c r="AB35" i="1"/>
  <c r="AC34" i="1"/>
  <c r="W34" i="1"/>
  <c r="Y34" i="1" s="1"/>
  <c r="K35" i="1"/>
  <c r="L35" i="1" s="1"/>
  <c r="M35" i="1" s="1"/>
  <c r="H36" i="1"/>
  <c r="AB36" i="1" l="1"/>
  <c r="U36" i="1"/>
  <c r="Q36" i="1"/>
  <c r="R36" i="1" s="1"/>
  <c r="AA36" i="1"/>
  <c r="T36" i="1"/>
  <c r="W36" i="1" s="1"/>
  <c r="Y36" i="1" s="1"/>
  <c r="Z36" i="1"/>
  <c r="P38" i="1"/>
  <c r="AE33" i="1"/>
  <c r="AM33" i="1" s="1"/>
  <c r="AD34" i="1"/>
  <c r="AC35" i="1"/>
  <c r="W35" i="1"/>
  <c r="Y35" i="1" s="1"/>
  <c r="K36" i="1"/>
  <c r="AC36" i="1" l="1"/>
  <c r="AD36" i="1" s="1"/>
  <c r="AE34" i="1"/>
  <c r="AM34" i="1" s="1"/>
  <c r="L36" i="1"/>
  <c r="M36" i="1" s="1"/>
  <c r="AD35" i="1"/>
  <c r="K38" i="1"/>
  <c r="AC38" i="1" l="1"/>
  <c r="AD38" i="1"/>
  <c r="AE36" i="1"/>
  <c r="AM36" i="1" s="1"/>
  <c r="AE35" i="1"/>
  <c r="AM35" i="1" s="1"/>
  <c r="AE38" i="1" l="1"/>
</calcChain>
</file>

<file path=xl/sharedStrings.xml><?xml version="1.0" encoding="utf-8"?>
<sst xmlns="http://schemas.openxmlformats.org/spreadsheetml/2006/main" count="165" uniqueCount="165">
  <si>
    <t>ADA Air Cargo Facility</t>
  </si>
  <si>
    <t>Year</t>
  </si>
  <si>
    <t>Truckloads into ADA</t>
  </si>
  <si>
    <t>Landing fee avoided</t>
  </si>
  <si>
    <t>NPV</t>
  </si>
  <si>
    <t>BCR</t>
  </si>
  <si>
    <t>Residual value</t>
  </si>
  <si>
    <t xml:space="preserve">Residual value </t>
  </si>
  <si>
    <t>Avoided delay costs at DFW - assume  Boeing 767-200 46.25 ton payload - ave delay at DFW 2019 and 2020 11min per flight</t>
  </si>
  <si>
    <t>Total Avoided costs by DFW Air Cargo Traffic Relocating to ADA - except co2</t>
  </si>
  <si>
    <t>Years 2045 to 2052 we used an estimated GDP as per the FAA Forecast for out years</t>
  </si>
  <si>
    <t>Payload for a standard semi at 44,000 lbs was used as the vehicle assumed to be moving freight in and out of the airport</t>
  </si>
  <si>
    <t>Landing fee avoided.  This assumes that the cargo would be going to DFW if Ardmore is not built.  Ardmore more will be less expensive to fly into and out of because the airport</t>
  </si>
  <si>
    <t xml:space="preserve">does not have the infrastructure to maintain and because congestion issues at DFW drive up costs.  The tons of cargo forcasted to come into Ardmore are divided by the payload of </t>
  </si>
  <si>
    <t xml:space="preserve">the 767-200 (46.2 tons).  The number of aircraft landing is likely calculated to be lower than actual because the volume max of the shipment may well be reached before </t>
  </si>
  <si>
    <t xml:space="preserve">the payload limit.  The maximum landing weight of a fully loaded 727-200 is 283,000 lbs the landing fee is calculated on a dollar figure less than DFW (to calculate savings) - the landing fee at DFW varies, but </t>
  </si>
  <si>
    <t>Delay costs for the aircraft are calculated from the overall delay time at DFW - from a FAA document "Calculating Delay Propagation Multipliers for Cost - Benefit Analysis" table 4-1 pg 4-3 dividied</t>
  </si>
  <si>
    <t>by the total number of flights from DFW.  Document can be found at http://www.faa.gov/regulations_policies/policy_guidance/benefit_cost/media/faabca.pdf</t>
  </si>
  <si>
    <t>The operating costs are assumed to be during flight - the delay may be as a holding pattern above the airport or waiting on a hold line.  In order to account for the time the aircraft may not be flying</t>
  </si>
  <si>
    <t>but is still operating - essentially using less fuel - we reduced the operating costs by 25%.</t>
  </si>
  <si>
    <t xml:space="preserve">truck shut off - such as waiting to get loaded or unloaded.  We assumed the truck get 6 mpg. The emissions values are as described in the BCA Guidance.  CO2   </t>
  </si>
  <si>
    <t>emissions are based upon the gallons burned.  We don’t know the fuel economy of the truck at slow highway speeds - but potentially similar engine speeds</t>
  </si>
  <si>
    <t xml:space="preserve">Tons of Air Cargo to Ardmore instead of DFW area </t>
  </si>
  <si>
    <t>Air Cargo volume airport shift from OKC to Ardmore 10% OKC volume</t>
  </si>
  <si>
    <t>Truckloads of cargo from OKC to Ardmore</t>
  </si>
  <si>
    <t>Miles saved assuming a 25 mile (one way) shorter haul to an airport - 50 miles total</t>
  </si>
  <si>
    <t>Driver time and truck operation cost savings</t>
  </si>
  <si>
    <t>Emissions savings OKC diverted freight PM2.5</t>
  </si>
  <si>
    <t>Emission savings OKC diverted freight SO2</t>
  </si>
  <si>
    <t>Emissions savings OKC diverted freight Nox</t>
  </si>
  <si>
    <t>Emissions savings OKC diverted freight CO2</t>
  </si>
  <si>
    <t>Emissions savings OKC diverted CO2 discounted 3%</t>
  </si>
  <si>
    <t>Emissions savings OKC diverted total except CO2 discounted 7%</t>
  </si>
  <si>
    <t>Emissions savings total OKC diverted except CO2</t>
  </si>
  <si>
    <t>Total avoided crashes at 7% discount rate</t>
  </si>
  <si>
    <t xml:space="preserve">Total benefit OKC diverted traffic </t>
  </si>
  <si>
    <t>Residual value assumes a 40 year life of the project, includes the discounted construction cost.</t>
  </si>
  <si>
    <t>is approximately $10 per ton of landed weight. We used a savings of $5 per ton.</t>
  </si>
  <si>
    <t>by assuming that in an hours time a truck can travel 60 miles - in the BCA guideance the operationa costs for that truck are $.94 per mile - or $56.40/hr</t>
  </si>
  <si>
    <t>would add an additional 6 hours of driving time each trip.  We used driver time as presented in the March 2022 BCA Guidance - truck operational cost were calculated</t>
  </si>
  <si>
    <t>Table 4-7 2018 Part 121 Pg 4-8 costs were inflated to 2020 (1.03) value</t>
  </si>
  <si>
    <t>so assumed the fuel burn was similar to normal fuel economy. Assuming the miles traveled to Ardmore or DFW are the same (60 miles) the emissions would be similar - however</t>
  </si>
  <si>
    <t>Emmissions Savings Truck delay of four hours total in/out less time assuming normal highway speedsplus on airport wait time emissions savings SO2</t>
  </si>
  <si>
    <t>Emmissions Savings Truck delay of four hours total in/out less time assuming normal highway speedsplus airport wait time emissions savings PM2.5</t>
  </si>
  <si>
    <t>Emmissions savings Truck delay of four hours total in/out less time assuming normal highway speeds assume on airport wait time idling or off - minimal emmissions - emissions savings co2 discounted 3%</t>
  </si>
  <si>
    <t>of that 6 hours we assumed 4 hours was due to congestion on the highway and 2 hours once on airport. Truck operationg cost per hour (60 x .94) plus driver time $32 hr</t>
  </si>
  <si>
    <t>traffic moves slower during congestion on I35 to the truck is running for the equilvalent of 33.4 more miles. 40 miles at 10mph is 4 hrs.  If the truck had been traveling at 60 mph that 40</t>
  </si>
  <si>
    <t xml:space="preserve">miles would have taken .66 hrs.  Therefore, the truck will be in operation for an additional 3.34 hrs at 10 mph.  </t>
  </si>
  <si>
    <t>Emmissions savings Truck delay of four hours total in/out less time assuming normal highway speeds, on airport time assumed to be off or idling  emissions savings Nox</t>
  </si>
  <si>
    <t>Avoided truck crashes resulting in fatalities 2020 dollars 2020 Oklahoma data</t>
  </si>
  <si>
    <t>Avoided Truck crashes resulting in injury - averaged KABCO B and A level  - 2020 dollars 2020 Oklahoma data</t>
  </si>
  <si>
    <t>crashes not reported as KABCO levels.  Monitized value averaged for KABCO Level A and B for a value of $552,950.</t>
  </si>
  <si>
    <t>Avoided PDO crashes - total crashes less injuy and fatality truck crashes - 2020 dollars 2020 Oklahoma data</t>
  </si>
  <si>
    <t>Total avoided crashes 2020 dollars</t>
  </si>
  <si>
    <t>Truck delay operation costs avoided by not going to DFW due to roadway congestion to, from and at airport 4 additional hours in traffic, 2 hours on airport  6hrs total</t>
  </si>
  <si>
    <t>Hourly operating costs for the 767-200 ($8581) are provided from the FAA at http://FAA.gov/regulations_policies/policy_guidance/media/econ-value-section-4-op-costs.pdf</t>
  </si>
  <si>
    <t>Total Avoided costs by DFW Air Cargo Traffic Relocating to ADA except co2 dicounded 7%</t>
  </si>
  <si>
    <t>Total Avoided costs DFW to ADA includes discounted co2</t>
  </si>
  <si>
    <t>Driver time and truck operation cost savings OKC to Ardmore discounted 7%</t>
  </si>
  <si>
    <t>Tons of air cargo.  The first two years are based upon experienced expectations of startup volumes at new aircargo facilities.  25,000 tons the first year, 35,000 tons the second year.</t>
  </si>
  <si>
    <t>Years 2027 - 2036 considered a growth period of 10 years for the new business at 12% per year.</t>
  </si>
  <si>
    <t xml:space="preserve">Years 2037 - 2046 are assuming an average growth rate of 5% -  50% domestic cargo and 50% international cargo forcasts </t>
  </si>
  <si>
    <t>cargo.  This can be seen in the FAA Aerospace Forecast Fiscal Years 2020 - 2040 pg 23 https://www.faa.gov/data_research/aviation/aerospace_forecasts/media/FAA_Aerospace_Forecasts_FY_2020-2040.pdf</t>
  </si>
  <si>
    <t>I35 in the DFW area is one of the most congested roadways in the country.  We assumed that the congestion related delay compared to driving into Ardmore and unloading/loading right away</t>
  </si>
  <si>
    <t xml:space="preserve">The truck delay costs DFW vs Ardmore are calculated assuming that the trucking is running for four hours but moving at a slow speed - so the truck is running.  Once the truck is in the airport, delays will likely be with the </t>
  </si>
  <si>
    <t>Crashes avoided for a shorter move to ADA instead of DFW from Oklahoma orgin - used 2020 Oklahoma crash data for fatalities, injuries, and property damage only</t>
  </si>
  <si>
    <t>Assumed 25 mile each way shorter trip for a total of 50 miles.  Emmission data and truck costs as presented in BCA Guidance March 2022</t>
  </si>
  <si>
    <t>Notes by column</t>
  </si>
  <si>
    <t>Column D</t>
  </si>
  <si>
    <t>Column B</t>
  </si>
  <si>
    <t>Tons of air Cargo</t>
  </si>
  <si>
    <t>Column C</t>
  </si>
  <si>
    <t>Conversion to trucloads</t>
  </si>
  <si>
    <t>Column E</t>
  </si>
  <si>
    <t xml:space="preserve">$56.4 is assuming a truck drives 60 mph @ $.94 per mile is a cost per hour  $32 is truck driver time in BCA Guidance time delay in hours </t>
  </si>
  <si>
    <t xml:space="preserve">Landing fee - tons of air cargo divided by tons of cargo per aircraft equals number of aircrafft. Aircrafft times landing fee based upon maximum landing weight of aircraft (283,000lb for  727-200) times $5 per ton </t>
  </si>
  <si>
    <t>Column F</t>
  </si>
  <si>
    <t>Delay cost for aircrafft on the ground at the airport adjusted down by 25% to account for low engine speeds at hold lines. Hourly operating cost as per FAA</t>
  </si>
  <si>
    <t xml:space="preserve">Delay costs for the aircraft are calculated from the overall delay time at DFW - from a FAA document "Calculating Delay Propagation Multipliers for Cost - Benefit Analysis" table 4-1 pg 4-3 </t>
  </si>
  <si>
    <t>divided by the total number of flights from DFW.  Document can be found at http://www.faa.gov/regulations_policies/policy_guidance/benefit_cost/media/faabca.pdf 11 min per flight delay time</t>
  </si>
  <si>
    <r>
      <rPr>
        <sz val="11"/>
        <color theme="1"/>
        <rFont val="Calibri"/>
        <family val="2"/>
        <scheme val="minor"/>
      </rPr>
      <t>Hourly operating costs for the 767-200 ($8581) are provided from the FAA</t>
    </r>
    <r>
      <rPr>
        <u/>
        <sz val="11"/>
        <color theme="10"/>
        <rFont val="Calibri"/>
        <family val="2"/>
        <scheme val="minor"/>
      </rPr>
      <t xml:space="preserve"> at http://FAA.gov/regulations_policies/policy_guidance/media/econ-value-section-4-op-costs.pdf Table 4-7 </t>
    </r>
    <r>
      <rPr>
        <sz val="11"/>
        <color theme="1"/>
        <rFont val="Calibri"/>
        <family val="2"/>
        <scheme val="minor"/>
      </rPr>
      <t>2018 Part 121 Pg 4-8 costs were</t>
    </r>
    <r>
      <rPr>
        <u/>
        <sz val="11"/>
        <color theme="10"/>
        <rFont val="Calibri"/>
        <family val="2"/>
        <scheme val="minor"/>
      </rPr>
      <t xml:space="preserve"> </t>
    </r>
  </si>
  <si>
    <t>inflated to 2020 (1.03) value</t>
  </si>
  <si>
    <t>Column G</t>
  </si>
  <si>
    <t xml:space="preserve">CO2 emissions savings discounted 3% DFW </t>
  </si>
  <si>
    <t>Column H</t>
  </si>
  <si>
    <t xml:space="preserve">Column I </t>
  </si>
  <si>
    <t>Column J</t>
  </si>
  <si>
    <t>PM2.5 emissions saving not disounted DFW</t>
  </si>
  <si>
    <t>Nox emissions savings not discounted DFW</t>
  </si>
  <si>
    <t>SO2 emissions savings not discounted DFW</t>
  </si>
  <si>
    <t>Column K</t>
  </si>
  <si>
    <t>Column L</t>
  </si>
  <si>
    <t>Column M</t>
  </si>
  <si>
    <t>Total avoided DFW costs includes discounted CO2</t>
  </si>
  <si>
    <t>Total avoided DFW costs except CO2 not discounted</t>
  </si>
  <si>
    <t>Total avoided DFW costs except CO2 discounted 7%</t>
  </si>
  <si>
    <t>Column N</t>
  </si>
  <si>
    <t>air cargo shift from OKC in tons</t>
  </si>
  <si>
    <t>Column O</t>
  </si>
  <si>
    <t>air cargo shift from OKC in truck loads</t>
  </si>
  <si>
    <t>Column P</t>
  </si>
  <si>
    <t>Column Q</t>
  </si>
  <si>
    <t>miles saved truckloads times 50 miles</t>
  </si>
  <si>
    <t>Driver and operating cost times savings assuming 50 mph ave speed</t>
  </si>
  <si>
    <t>Column R</t>
  </si>
  <si>
    <t>Discounted Column Q</t>
  </si>
  <si>
    <t>Column S</t>
  </si>
  <si>
    <t>NOX emissions savings not discounted OKC</t>
  </si>
  <si>
    <t>Column T</t>
  </si>
  <si>
    <t>SO2 emissions savings not discounted OKC</t>
  </si>
  <si>
    <t>Column U</t>
  </si>
  <si>
    <t>PM2.5 emissions saving not disounted okc</t>
  </si>
  <si>
    <t>Column V</t>
  </si>
  <si>
    <t>CO2 emissions savings not discounted OKC</t>
  </si>
  <si>
    <t>Column W</t>
  </si>
  <si>
    <t>Column X</t>
  </si>
  <si>
    <t>Column Y</t>
  </si>
  <si>
    <t>Emmissions total savings except CO2 discounted 7% OKC</t>
  </si>
  <si>
    <t>emmissions savings total except CO2 OKC</t>
  </si>
  <si>
    <t>CO2 emmissions savings discounted 3% OKC</t>
  </si>
  <si>
    <t>Column Z</t>
  </si>
  <si>
    <t>Avoided Truck crashes fatalities Oklahoma data https://ohso.ok.gov/sites/g/files/gmc751/f/2020_s1_summarybackground.pdf</t>
  </si>
  <si>
    <t>Column AA</t>
  </si>
  <si>
    <t>Avoided Truck crashes injuries Oklahoma data https://ohso.ok.gov/sites/g/files/gmc751/f/2020_s1_summarybackground.pdf Monitized values averaged KABCO Level A&amp;B</t>
  </si>
  <si>
    <t>Column AB</t>
  </si>
  <si>
    <t>Avoided Truck Craskes PDO Oklahoma data as above</t>
  </si>
  <si>
    <t>Column AC</t>
  </si>
  <si>
    <t>total saving avoided truck crashes Z+AA+AB</t>
  </si>
  <si>
    <t>Column AD</t>
  </si>
  <si>
    <t>Total savings avoided truck crashes discounted 7%</t>
  </si>
  <si>
    <t>Column AE</t>
  </si>
  <si>
    <t>total discounted benefit air cargo diverted from OKC R7+X7+Y7+AD7</t>
  </si>
  <si>
    <t>Column AF</t>
  </si>
  <si>
    <t>Total avoided costs (benefits) discounted M7+AE7</t>
  </si>
  <si>
    <t>NPV AH38-AG38</t>
  </si>
  <si>
    <t>Column AI</t>
  </si>
  <si>
    <t>BCR (AH38+AG41)/AG38</t>
  </si>
  <si>
    <t>Residual Value =SUM(0.25*AG38)/(1+0.07)^34</t>
  </si>
  <si>
    <t>hwy 53 ADT growth assuming 1% annual ADT Growth from 2018 to 2054</t>
  </si>
  <si>
    <t xml:space="preserve">Discounted Construction and Main costs 7% </t>
  </si>
  <si>
    <t>Construction Costs year of expenditue dollars</t>
  </si>
  <si>
    <t>Discounted Construction Costs at 7% (2020)</t>
  </si>
  <si>
    <t>Air Cargo Building Maint costs</t>
  </si>
  <si>
    <t>Air Cargo Buiding Maint costs discounted 7%</t>
  </si>
  <si>
    <t>Total avoided costs DFW divert to ADA and OKC divert to ADA - Benefits</t>
  </si>
  <si>
    <t>Column AH</t>
  </si>
  <si>
    <t>Air Cargo Bldg Main costs</t>
  </si>
  <si>
    <t>Column AG</t>
  </si>
  <si>
    <t>Air Cargo Bldg Main costs discounted 7%</t>
  </si>
  <si>
    <t>Column AJ</t>
  </si>
  <si>
    <t>Column AK</t>
  </si>
  <si>
    <t>Cargo Apron Pavement maint discounted 7%</t>
  </si>
  <si>
    <t>Cargo Apron Pavement maint</t>
  </si>
  <si>
    <t>Column AL</t>
  </si>
  <si>
    <t>Total dmaint costs discointed 7%</t>
  </si>
  <si>
    <t xml:space="preserve">Column AM </t>
  </si>
  <si>
    <t>Column AN</t>
  </si>
  <si>
    <t xml:space="preserve">Column AO </t>
  </si>
  <si>
    <t>Colum AP</t>
  </si>
  <si>
    <t>Total discounted Maint costs discounted 7%</t>
  </si>
  <si>
    <t>and VMT as reported in the 2020 Oklahoma Crash Facts publication   https://ohso.ok.gov/sites/g/files/gmc751/f/2020_s1_summarybackground.pdf</t>
  </si>
  <si>
    <t>Construction and Maint costs pavement maint and buidling maint as expenditure year - building maint $2.15 per square foot - increased 4% per year</t>
  </si>
  <si>
    <t>total benefits discounted</t>
  </si>
  <si>
    <t>Apron Pavement Maint and air cargo parking and street maint</t>
  </si>
  <si>
    <t>Apron Pavement and air cargo parking Maint discounted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</si>
</sst>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3" fontId="0" fillId="0" borderId="0" xfId="0" applyNumberFormat="1"/>
    <xf numFmtId="1"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xf numFmtId="164" fontId="0" fillId="0" borderId="0" xfId="0" applyNumberFormat="1" applyAlignment="1">
      <alignment wrapText="1"/>
    </xf>
    <xf numFmtId="2" fontId="0" fillId="0" borderId="0" xfId="0" applyNumberFormat="1"/>
    <xf numFmtId="2" fontId="0" fillId="0" borderId="0" xfId="0" applyNumberFormat="1" applyAlignment="1">
      <alignment wrapText="1"/>
    </xf>
    <xf numFmtId="0" fontId="0" fillId="0" borderId="0" xfId="0" applyFill="1"/>
    <xf numFmtId="0" fontId="0" fillId="0" borderId="0" xfId="0" applyFill="1" applyAlignment="1">
      <alignment wrapText="1"/>
    </xf>
    <xf numFmtId="164" fontId="0" fillId="0" borderId="0" xfId="0" applyNumberFormat="1" applyFill="1"/>
    <xf numFmtId="0" fontId="0" fillId="0" borderId="0" xfId="0" applyAlignment="1">
      <alignment vertical="center"/>
    </xf>
    <xf numFmtId="0" fontId="1" fillId="0" borderId="0" xfId="1" applyAlignment="1">
      <alignment vertical="center"/>
    </xf>
    <xf numFmtId="165" fontId="0" fillId="0" borderId="0" xfId="0" applyNumberFormat="1"/>
    <xf numFmtId="165" fontId="0" fillId="0" borderId="0" xfId="0" applyNumberForma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aa.gov/regulations_policies/policy_guidance/media/econ-value-section-4-op-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B457D-0A82-48B7-B9EE-5C066C10360B}">
  <sheetPr>
    <pageSetUpPr fitToPage="1"/>
  </sheetPr>
  <dimension ref="A1:AS41"/>
  <sheetViews>
    <sheetView tabSelected="1" zoomScale="110" zoomScaleNormal="110" workbookViewId="0">
      <selection activeCell="AG38" sqref="AG38"/>
    </sheetView>
  </sheetViews>
  <sheetFormatPr defaultRowHeight="15" x14ac:dyDescent="0.25"/>
  <cols>
    <col min="2" max="2" width="17.85546875" customWidth="1"/>
    <col min="3" max="3" width="18.7109375" style="2" customWidth="1"/>
    <col min="4" max="4" width="18.7109375" style="5" customWidth="1"/>
    <col min="5" max="5" width="20.42578125" style="5" customWidth="1"/>
    <col min="6" max="10" width="19.28515625" style="5" customWidth="1"/>
    <col min="11" max="13" width="14.28515625" customWidth="1"/>
    <col min="14" max="14" width="21.140625" style="2" customWidth="1"/>
    <col min="15" max="16" width="14.28515625" style="2" customWidth="1"/>
    <col min="17" max="23" width="14.28515625" customWidth="1"/>
    <col min="24" max="24" width="14.28515625" style="9" customWidth="1"/>
    <col min="25" max="31" width="14.28515625" customWidth="1"/>
    <col min="32" max="32" width="20" style="5" customWidth="1"/>
    <col min="33" max="38" width="19.140625" style="5" customWidth="1"/>
    <col min="39" max="39" width="18.28515625" style="5" customWidth="1"/>
    <col min="40" max="40" width="12.140625" bestFit="1" customWidth="1"/>
    <col min="41" max="41" width="12.140625" style="7" bestFit="1" customWidth="1"/>
    <col min="42" max="42" width="10.140625" bestFit="1" customWidth="1"/>
    <col min="43" max="43" width="14.140625" style="14" customWidth="1"/>
    <col min="44" max="44" width="18.140625" customWidth="1"/>
    <col min="45" max="45" width="11.140625" bestFit="1" customWidth="1"/>
  </cols>
  <sheetData>
    <row r="1" spans="1:45" x14ac:dyDescent="0.25">
      <c r="A1" t="s">
        <v>0</v>
      </c>
      <c r="N1"/>
      <c r="Q1" s="2"/>
      <c r="R1" s="2"/>
      <c r="X1"/>
      <c r="Y1" s="9"/>
      <c r="AF1"/>
      <c r="AN1" s="5"/>
      <c r="AO1"/>
      <c r="AP1" s="7"/>
    </row>
    <row r="4" spans="1:45" s="3" customFormat="1" ht="180" x14ac:dyDescent="0.25">
      <c r="A4" s="3" t="s">
        <v>1</v>
      </c>
      <c r="B4" s="3" t="s">
        <v>22</v>
      </c>
      <c r="C4" s="4" t="s">
        <v>2</v>
      </c>
      <c r="D4" s="6" t="s">
        <v>54</v>
      </c>
      <c r="E4" s="6" t="s">
        <v>3</v>
      </c>
      <c r="F4" s="6" t="s">
        <v>8</v>
      </c>
      <c r="G4" s="6" t="s">
        <v>44</v>
      </c>
      <c r="H4" s="6" t="s">
        <v>48</v>
      </c>
      <c r="I4" s="6" t="s">
        <v>42</v>
      </c>
      <c r="J4" s="6" t="s">
        <v>43</v>
      </c>
      <c r="K4" s="3" t="s">
        <v>9</v>
      </c>
      <c r="L4" s="3" t="s">
        <v>56</v>
      </c>
      <c r="M4" s="3" t="s">
        <v>57</v>
      </c>
      <c r="N4" s="4" t="s">
        <v>23</v>
      </c>
      <c r="O4" s="4" t="s">
        <v>24</v>
      </c>
      <c r="P4" s="4" t="s">
        <v>25</v>
      </c>
      <c r="Q4" s="3" t="s">
        <v>26</v>
      </c>
      <c r="R4" s="3" t="s">
        <v>58</v>
      </c>
      <c r="S4" s="3" t="s">
        <v>29</v>
      </c>
      <c r="T4" s="3" t="s">
        <v>28</v>
      </c>
      <c r="U4" s="3" t="s">
        <v>27</v>
      </c>
      <c r="V4" s="3" t="s">
        <v>30</v>
      </c>
      <c r="W4" s="3" t="s">
        <v>33</v>
      </c>
      <c r="X4" s="10" t="s">
        <v>31</v>
      </c>
      <c r="Y4" s="3" t="s">
        <v>32</v>
      </c>
      <c r="Z4" s="3" t="s">
        <v>49</v>
      </c>
      <c r="AA4" s="3" t="s">
        <v>50</v>
      </c>
      <c r="AB4" s="3" t="s">
        <v>52</v>
      </c>
      <c r="AC4" s="3" t="s">
        <v>53</v>
      </c>
      <c r="AD4" s="3" t="s">
        <v>34</v>
      </c>
      <c r="AE4" s="3" t="s">
        <v>35</v>
      </c>
      <c r="AF4" s="6" t="s">
        <v>140</v>
      </c>
      <c r="AG4" s="6" t="s">
        <v>141</v>
      </c>
      <c r="AH4" s="6" t="s">
        <v>142</v>
      </c>
      <c r="AI4" s="6" t="s">
        <v>143</v>
      </c>
      <c r="AJ4" s="6" t="s">
        <v>163</v>
      </c>
      <c r="AK4" s="6" t="s">
        <v>164</v>
      </c>
      <c r="AL4" s="6" t="s">
        <v>159</v>
      </c>
      <c r="AM4" s="6" t="s">
        <v>144</v>
      </c>
      <c r="AN4" s="3" t="s">
        <v>4</v>
      </c>
      <c r="AO4" s="8" t="s">
        <v>5</v>
      </c>
      <c r="AP4" s="3" t="s">
        <v>7</v>
      </c>
      <c r="AQ4" s="15" t="s">
        <v>138</v>
      </c>
      <c r="AR4" s="3" t="s">
        <v>162</v>
      </c>
    </row>
    <row r="5" spans="1:45" x14ac:dyDescent="0.25">
      <c r="A5">
        <v>2023</v>
      </c>
      <c r="AF5" s="5">
        <v>21002841</v>
      </c>
      <c r="AG5" s="5">
        <f>AF5/(1+0.07)^3</f>
        <v>17144574.516976137</v>
      </c>
      <c r="AM5" s="5">
        <f>-AG5</f>
        <v>-17144574.516976137</v>
      </c>
      <c r="AN5" s="5">
        <f>AM38-AG38-AL38</f>
        <v>20034935.269300148</v>
      </c>
      <c r="AO5" s="7">
        <f>SUM(AM38+AL38+AP5)/AG38</f>
        <v>2.1125103265769138</v>
      </c>
      <c r="AP5" s="5">
        <f>AG41</f>
        <v>837326.55075409322</v>
      </c>
      <c r="AR5" s="5">
        <f>AM38+AL38+AP5</f>
        <v>70599582.965552613</v>
      </c>
      <c r="AS5" s="5"/>
    </row>
    <row r="6" spans="1:45" x14ac:dyDescent="0.25">
      <c r="A6">
        <f>SUM(A5+1)</f>
        <v>2024</v>
      </c>
      <c r="AF6" s="5">
        <v>21333445</v>
      </c>
      <c r="AG6" s="5">
        <f>AF6/(1+0.07)^4</f>
        <v>16275183.046979217</v>
      </c>
      <c r="AM6" s="5">
        <f>-AG6</f>
        <v>-16275183.046979217</v>
      </c>
    </row>
    <row r="7" spans="1:45" x14ac:dyDescent="0.25">
      <c r="A7">
        <f t="shared" ref="A7:A36" si="0">SUM(A6+1)</f>
        <v>2025</v>
      </c>
      <c r="B7" s="1">
        <v>25000</v>
      </c>
      <c r="C7" s="2">
        <f>SUM(B7*2000)/44000</f>
        <v>1136.3636363636363</v>
      </c>
      <c r="D7" s="5">
        <f>SUM(56.4+32)*C7*6</f>
        <v>602727.27272727271</v>
      </c>
      <c r="E7" s="5">
        <f>SUM(B7/46.25)*(283000/2000)*5</f>
        <v>382432.43243243243</v>
      </c>
      <c r="F7" s="5">
        <f>SUM(B7/46.25)*(8838*1.03/60)*11*0.75</f>
        <v>676584.7297297297</v>
      </c>
      <c r="G7" s="5">
        <f>SUM(((C7*(3.34*60))/(6))*((10180/453)/(2203))*56)/(1+0.03)^5</f>
        <v>18702.547954668189</v>
      </c>
      <c r="H7" s="5">
        <f>C7*(33.4)*0.8924/453/2203*16500</f>
        <v>560.00847730217367</v>
      </c>
      <c r="I7" s="5">
        <f>C7*(33.4)*0.0066/453/2203*44900</f>
        <v>11.2704529945619</v>
      </c>
      <c r="J7" s="5">
        <f>C7*(33.4)*0.0116/453/2203*801700</f>
        <v>353.68852373148133</v>
      </c>
      <c r="K7" s="5">
        <f>SUM(D7+E7+F7+H7+I7+J7)</f>
        <v>1662669.4023434632</v>
      </c>
      <c r="L7" s="5">
        <f>K7/(1+0.07)^5</f>
        <v>1185460.3049212601</v>
      </c>
      <c r="M7" s="5">
        <f>SUM(G7+L7)</f>
        <v>1204162.8528759284</v>
      </c>
      <c r="N7" s="2">
        <v>10000</v>
      </c>
      <c r="O7" s="2">
        <f>SUM(N7*2000)/44000</f>
        <v>454.54545454545456</v>
      </c>
      <c r="P7" s="2">
        <f>SUM(O7*50)</f>
        <v>22727.272727272728</v>
      </c>
      <c r="Q7" s="5">
        <f>SUM(P7/50*32)+(P7*0.94)</f>
        <v>35909.090909090912</v>
      </c>
      <c r="R7" s="5">
        <f>SUM(Q7/(1+0.07)^5)</f>
        <v>25602.685536004457</v>
      </c>
      <c r="S7" s="5">
        <f>SUM(P7*0.8924/453/2203*16500)</f>
        <v>335.3344175462118</v>
      </c>
      <c r="T7" s="5">
        <f>SUM(P7*0.0066/453/2203*44900)</f>
        <v>6.7487742482406601</v>
      </c>
      <c r="U7" s="5">
        <f>SUM(P7*0.0116/453/2203*801700)</f>
        <v>211.78953516855174</v>
      </c>
      <c r="V7" s="5">
        <f>SUM(P7/6*10180/453/2203*56)</f>
        <v>2163.8102761675973</v>
      </c>
      <c r="W7" s="5">
        <f>SUM(S7+T7+U7)</f>
        <v>553.8727269630042</v>
      </c>
      <c r="X7" s="11">
        <f>V7/(1+0.03)^5</f>
        <v>1866.5217519628934</v>
      </c>
      <c r="Y7" s="5">
        <f>SUM(W7/(1+0.07)^5)</f>
        <v>394.90359951755335</v>
      </c>
      <c r="Z7" s="5">
        <f>SUM(75/42817565156)*P7*11600000</f>
        <v>461.79009013445813</v>
      </c>
      <c r="AA7" s="5">
        <f>SUM(1563/42817565156)*P7*352950</f>
        <v>292.81783177603654</v>
      </c>
      <c r="AB7" s="5">
        <f>SUM(3146/42817565156)*P7*4600</f>
        <v>7.6814269751607167</v>
      </c>
      <c r="AC7" s="5">
        <f>+SUM(Z7+AA7+AB7)</f>
        <v>762.28934888565539</v>
      </c>
      <c r="AD7" s="5">
        <f>SUM(AC7)/(1+0.07)^5</f>
        <v>543.50177052307663</v>
      </c>
      <c r="AE7" s="5">
        <f>SUM(R7+X7+Y7+AD7)</f>
        <v>28407.61265800798</v>
      </c>
      <c r="AH7" s="5">
        <v>0</v>
      </c>
      <c r="AL7" s="5">
        <f>SUM(AI7+AK7)</f>
        <v>0</v>
      </c>
      <c r="AM7" s="5">
        <f t="shared" ref="AM7:AM36" si="1">M7+AE7</f>
        <v>1232570.4655339364</v>
      </c>
      <c r="AQ7" s="14">
        <v>3752</v>
      </c>
    </row>
    <row r="8" spans="1:45" x14ac:dyDescent="0.25">
      <c r="A8">
        <f t="shared" si="0"/>
        <v>2026</v>
      </c>
      <c r="B8" s="1">
        <v>35000</v>
      </c>
      <c r="C8" s="2">
        <f t="shared" ref="C8:C36" si="2">SUM(B8*2000)/44000</f>
        <v>1590.909090909091</v>
      </c>
      <c r="D8" s="5">
        <f t="shared" ref="D8:D36" si="3">SUM(56.4+32)*C8*6</f>
        <v>843818.18181818188</v>
      </c>
      <c r="E8" s="5">
        <f t="shared" ref="E8:E36" si="4">SUM(B8/46.25)*(283000/2000)*5</f>
        <v>535405.40540540544</v>
      </c>
      <c r="F8" s="5">
        <f t="shared" ref="F8:F36" si="5">SUM(B8/46.25)*(8838*1.03/60)*11*0.75</f>
        <v>947218.62162162154</v>
      </c>
      <c r="G8" s="5">
        <f>SUM(((C8*(3.34*60))/(6))*((10180/453)/(2203))*57)/(1+0.03)^6</f>
        <v>25874.884306215703</v>
      </c>
      <c r="H8" s="5">
        <f>C8*(33.4)*0.8924/453/2203*16800</f>
        <v>798.26662946346221</v>
      </c>
      <c r="I8" s="5">
        <f>C8*(33.4)*0.0066/453/2203*45700</f>
        <v>16.059767986460365</v>
      </c>
      <c r="J8" s="5">
        <f>C8*(33.4)*0.0116/453/2203*814500</f>
        <v>503.06975628166185</v>
      </c>
      <c r="K8" s="5">
        <f>SUM(D8+E8+F8+H8+I8+J8)</f>
        <v>2327759.6049989406</v>
      </c>
      <c r="L8" s="5">
        <f>K8/(1+0.07)^6</f>
        <v>1551084.5117052409</v>
      </c>
      <c r="M8" s="5">
        <f t="shared" ref="M8:M36" si="6">SUM(G8+L8)</f>
        <v>1576959.3960114566</v>
      </c>
      <c r="N8" s="2">
        <f>SUM(N7*0.05)+N7</f>
        <v>10500</v>
      </c>
      <c r="O8" s="2">
        <f t="shared" ref="O8:O36" si="7">SUM(N8*2000)/44000</f>
        <v>477.27272727272725</v>
      </c>
      <c r="P8" s="2">
        <f t="shared" ref="P8:P36" si="8">SUM(O8*50)</f>
        <v>23863.636363636364</v>
      </c>
      <c r="Q8" s="5">
        <f t="shared" ref="Q8:Q36" si="9">SUM(P8/50*32)+(P8*0.94)</f>
        <v>37704.545454545456</v>
      </c>
      <c r="R8" s="5">
        <f>SUM(Q8/(1+0.07)^6)</f>
        <v>25124.130666172598</v>
      </c>
      <c r="S8" s="5">
        <f>SUM(P8*0.8924/453/2203*16800)</f>
        <v>358.50297730395016</v>
      </c>
      <c r="T8" s="5">
        <f>SUM(P8*0.0066/453/2203*45700)</f>
        <v>7.2124706526019606</v>
      </c>
      <c r="U8" s="5">
        <f>SUM(P8*0.0116/453/2203*814500)</f>
        <v>225.92953126421938</v>
      </c>
      <c r="V8" s="5">
        <f>SUM(P8/6*10180/453/2203*57)</f>
        <v>2312.5722326541199</v>
      </c>
      <c r="W8" s="5">
        <f t="shared" ref="W8:W36" si="10">SUM(S8+T8+U8)</f>
        <v>591.64497922077146</v>
      </c>
      <c r="X8" s="11">
        <f>V8/(1+0.03)^6</f>
        <v>1936.7428372915947</v>
      </c>
      <c r="Y8" s="5">
        <f>SUM(W8/(1+0.07)^6)</f>
        <v>394.23803116384323</v>
      </c>
      <c r="Z8" s="5">
        <f t="shared" ref="Z8:Z36" si="11">SUM(75/42817565156)*P8*11600000</f>
        <v>484.87959464118097</v>
      </c>
      <c r="AA8" s="5">
        <f t="shared" ref="AA8:AA36" si="12">SUM(1563/42817565156)*P8*352950</f>
        <v>307.45872336483836</v>
      </c>
      <c r="AB8" s="5">
        <f t="shared" ref="AB8:AB36" si="13">SUM(50161/45725660710)*P8*4500</f>
        <v>117.80272395682648</v>
      </c>
      <c r="AC8" s="5">
        <f t="shared" ref="AC8:AC36" si="14">+SUM(Z8+AA8+AB8)</f>
        <v>910.14104196284586</v>
      </c>
      <c r="AD8" s="5">
        <f>SUM(AC8)/(1+0.07)^6</f>
        <v>606.46540588820051</v>
      </c>
      <c r="AE8" s="5">
        <f t="shared" ref="AE8:AE36" si="15">SUM(R8+X8+Y8+AD8)</f>
        <v>28061.576940516239</v>
      </c>
      <c r="AH8" s="5">
        <f>SUM(80000*2.15)</f>
        <v>172000</v>
      </c>
      <c r="AI8" s="5">
        <f>SUM(AH8)/(1+0.07)^6</f>
        <v>114610.86249644015</v>
      </c>
      <c r="AL8" s="5">
        <f t="shared" ref="AL8:AL36" si="16">SUM(AI8+AK8)</f>
        <v>114610.86249644015</v>
      </c>
      <c r="AM8" s="5">
        <f t="shared" si="1"/>
        <v>1605020.9729519729</v>
      </c>
      <c r="AQ8" s="14">
        <f>SUM(AQ7*0.01)+AQ7</f>
        <v>3789.52</v>
      </c>
    </row>
    <row r="9" spans="1:45" x14ac:dyDescent="0.25">
      <c r="A9">
        <f t="shared" si="0"/>
        <v>2027</v>
      </c>
      <c r="B9" s="1">
        <f>+SUM(B8*0.12)+B8</f>
        <v>39200</v>
      </c>
      <c r="C9" s="2">
        <f t="shared" si="2"/>
        <v>1781.8181818181818</v>
      </c>
      <c r="D9" s="5">
        <f t="shared" si="3"/>
        <v>945076.36363636353</v>
      </c>
      <c r="E9" s="5">
        <f t="shared" si="4"/>
        <v>599654.05405405408</v>
      </c>
      <c r="F9" s="5">
        <f t="shared" si="5"/>
        <v>1060884.8562162162</v>
      </c>
      <c r="G9" s="5">
        <f>SUM(((C9*(3.34*60))/(6))*((10180/453)/(2203))*58)/(1+0.03)^7</f>
        <v>28629.406992535711</v>
      </c>
      <c r="H9" s="5">
        <f>C9*(33.4)*0.8924/453/2203*17100</f>
        <v>910.02395758834678</v>
      </c>
      <c r="I9" s="5">
        <f>C9*(33.4)*0.0066/453/2203*46500</f>
        <v>18.301809994198152</v>
      </c>
      <c r="J9" s="5">
        <f>C9*(33.4)*0.0116/453/2203*827400</f>
        <v>572.36182481171329</v>
      </c>
      <c r="K9" s="5">
        <f>SUM(D9+E9+F9+H9+I9+J9)</f>
        <v>2607115.9614990284</v>
      </c>
      <c r="L9" s="5">
        <f>K9/(1+0.07)^7</f>
        <v>1623580.7920867174</v>
      </c>
      <c r="M9" s="5">
        <f t="shared" si="6"/>
        <v>1652210.1990792532</v>
      </c>
      <c r="N9" s="2">
        <f t="shared" ref="N9:N17" si="17">SUM(N8*0.05)+N8</f>
        <v>11025</v>
      </c>
      <c r="O9" s="2">
        <f t="shared" si="7"/>
        <v>501.13636363636363</v>
      </c>
      <c r="P9" s="2">
        <f t="shared" si="8"/>
        <v>25056.81818181818</v>
      </c>
      <c r="Q9" s="5">
        <f t="shared" si="9"/>
        <v>39589.772727272721</v>
      </c>
      <c r="R9" s="5">
        <f>SUM(Q9/(1+0.07)^7)</f>
        <v>24654.520747178711</v>
      </c>
      <c r="S9" s="5">
        <f>SUM(P9*0.8924/453/2203*17100)</f>
        <v>383.15005699359659</v>
      </c>
      <c r="T9" s="5">
        <f>SUM(P9*0.0066/453/2203*46500)</f>
        <v>7.7056647617787908</v>
      </c>
      <c r="U9" s="5">
        <f>SUM(P9*0.0116/453/2203*827400)</f>
        <v>240.98317848547066</v>
      </c>
      <c r="V9" s="5">
        <f>SUM(P9/6*10180/453/2203*58)</f>
        <v>2470.8008590988748</v>
      </c>
      <c r="W9" s="5">
        <f t="shared" si="10"/>
        <v>631.83890024084599</v>
      </c>
      <c r="X9" s="11">
        <f>SUM(V9/(1+0.03)^7)</f>
        <v>2008.987204753161</v>
      </c>
      <c r="Y9" s="5">
        <f>SUM(W9/(1+0.07)^7)</f>
        <v>393.47751203763073</v>
      </c>
      <c r="Z9" s="5">
        <f t="shared" si="11"/>
        <v>509.12357437323999</v>
      </c>
      <c r="AA9" s="5">
        <f t="shared" si="12"/>
        <v>322.83165953308026</v>
      </c>
      <c r="AB9" s="5">
        <f t="shared" si="13"/>
        <v>123.69286015466781</v>
      </c>
      <c r="AC9" s="5">
        <f t="shared" si="14"/>
        <v>955.64809406098811</v>
      </c>
      <c r="AD9" s="5">
        <f>SUM(AC9)/(1+0.07)^7</f>
        <v>595.12960390898184</v>
      </c>
      <c r="AE9" s="5">
        <f t="shared" si="15"/>
        <v>27652.115067878487</v>
      </c>
      <c r="AH9" s="5">
        <f>SUM(AH8*1.04)</f>
        <v>178880</v>
      </c>
      <c r="AI9" s="5">
        <f t="shared" ref="AI9:AI36" si="18">SUM(AH9)/(1+0.07)^6</f>
        <v>119195.29699629777</v>
      </c>
      <c r="AL9" s="5">
        <f t="shared" si="16"/>
        <v>119195.29699629777</v>
      </c>
      <c r="AM9" s="5">
        <f t="shared" si="1"/>
        <v>1679862.3141471318</v>
      </c>
      <c r="AQ9" s="14">
        <f t="shared" ref="AQ9:AQ36" si="19">SUM(AQ8*0.01)+AQ8</f>
        <v>3827.4151999999999</v>
      </c>
    </row>
    <row r="10" spans="1:45" x14ac:dyDescent="0.25">
      <c r="A10">
        <f t="shared" si="0"/>
        <v>2028</v>
      </c>
      <c r="B10" s="1">
        <f t="shared" ref="B10:B18" si="20">+SUM(B9*0.12)+B9</f>
        <v>43904</v>
      </c>
      <c r="C10" s="2">
        <f t="shared" si="2"/>
        <v>1995.6363636363637</v>
      </c>
      <c r="D10" s="5">
        <f t="shared" si="3"/>
        <v>1058485.5272727273</v>
      </c>
      <c r="E10" s="5">
        <f t="shared" si="4"/>
        <v>671612.54054054047</v>
      </c>
      <c r="F10" s="5">
        <f t="shared" si="5"/>
        <v>1188191.0389621621</v>
      </c>
      <c r="G10" s="5">
        <f>SUM(((C10*(3.34*60))/(6))*((10180/453)/(2203))*60)/(1+0.03)^8</f>
        <v>32204.488615641116</v>
      </c>
      <c r="H10" s="5">
        <f>C10*(33.4)*0.8924/453/2203*17400</f>
        <v>1037.10800499893</v>
      </c>
      <c r="I10" s="5">
        <f>C10*(33.4)*0.0066/453/2203*47300</f>
        <v>20.850681424787993</v>
      </c>
      <c r="J10" s="5">
        <f>C10*(33.4)*0.0116/453/2203*840600</f>
        <v>651.27221649641456</v>
      </c>
      <c r="K10" s="5">
        <f>SUM(D10+E10+F10+H10+I10+J10)</f>
        <v>2919998.33767835</v>
      </c>
      <c r="L10" s="5">
        <f>K10/(1+0.07)^8</f>
        <v>1699465.6178435772</v>
      </c>
      <c r="M10" s="5">
        <f t="shared" si="6"/>
        <v>1731670.1064592183</v>
      </c>
      <c r="N10" s="2">
        <f t="shared" si="17"/>
        <v>11576.25</v>
      </c>
      <c r="O10" s="2">
        <f t="shared" si="7"/>
        <v>526.19318181818187</v>
      </c>
      <c r="P10" s="2">
        <f t="shared" si="8"/>
        <v>26309.659090909092</v>
      </c>
      <c r="Q10" s="5">
        <f t="shared" si="9"/>
        <v>41569.261363636368</v>
      </c>
      <c r="R10" s="5">
        <f>SUM(Q10/(1+0.07)^8)</f>
        <v>24193.68858368005</v>
      </c>
      <c r="S10" s="5">
        <f>SUM(P10*0.8924/453/2203*17400)</f>
        <v>409.36558720894806</v>
      </c>
      <c r="T10" s="5">
        <f>SUM(P10*0.0066/453/2203*47300)</f>
        <v>8.2301471052417998</v>
      </c>
      <c r="U10" s="5">
        <f>SUM(P10*0.0116/453/2203*840600)</f>
        <v>257.06911146559219</v>
      </c>
      <c r="V10" s="5">
        <f>SUM(P10/6*10180/453/2203*60)</f>
        <v>2683.8009331591234</v>
      </c>
      <c r="W10" s="5">
        <f t="shared" si="10"/>
        <v>674.66484577978213</v>
      </c>
      <c r="X10" s="11">
        <f>SUM(V10/(1+0.03)^8)</f>
        <v>2118.6172396961697</v>
      </c>
      <c r="Y10" s="5">
        <f>SUM(W10/(1+0.07)^8)</f>
        <v>392.66108277380073</v>
      </c>
      <c r="Z10" s="5">
        <f t="shared" si="11"/>
        <v>534.57975309190203</v>
      </c>
      <c r="AA10" s="5">
        <f t="shared" si="12"/>
        <v>338.97324250973429</v>
      </c>
      <c r="AB10" s="5">
        <f t="shared" si="13"/>
        <v>129.87750316240121</v>
      </c>
      <c r="AC10" s="5">
        <f t="shared" si="14"/>
        <v>1003.4304987640376</v>
      </c>
      <c r="AD10" s="5">
        <f>SUM(AC10)/(1+0.07)^8</f>
        <v>584.00568607890739</v>
      </c>
      <c r="AE10" s="5">
        <f t="shared" si="15"/>
        <v>27288.972592228929</v>
      </c>
      <c r="AH10" s="5">
        <f t="shared" ref="AH10:AH36" si="21">SUM(AH9*1.04)</f>
        <v>186035.20000000001</v>
      </c>
      <c r="AI10" s="5">
        <f t="shared" si="18"/>
        <v>123963.10887614968</v>
      </c>
      <c r="AL10" s="5">
        <f t="shared" si="16"/>
        <v>123963.10887614968</v>
      </c>
      <c r="AM10" s="5">
        <f t="shared" si="1"/>
        <v>1758959.0790514473</v>
      </c>
      <c r="AQ10" s="14">
        <f t="shared" si="19"/>
        <v>3865.6893519999999</v>
      </c>
    </row>
    <row r="11" spans="1:45" x14ac:dyDescent="0.25">
      <c r="A11">
        <f t="shared" si="0"/>
        <v>2029</v>
      </c>
      <c r="B11" s="1">
        <f t="shared" si="20"/>
        <v>49172.479999999996</v>
      </c>
      <c r="C11" s="2">
        <f t="shared" si="2"/>
        <v>2235.1127272727267</v>
      </c>
      <c r="D11" s="5">
        <f t="shared" si="3"/>
        <v>1185503.7905454542</v>
      </c>
      <c r="E11" s="5">
        <f t="shared" si="4"/>
        <v>752206.04540540534</v>
      </c>
      <c r="F11" s="5">
        <f t="shared" si="5"/>
        <v>1330773.9636376216</v>
      </c>
      <c r="G11" s="5">
        <f>SUM(((C11*(3.34*60))/(6))*((10180/453)/(2203))*61)/(1+0.03)^9</f>
        <v>35602.114275414257</v>
      </c>
      <c r="H11" s="5">
        <f>C11*(33.4)*0.8924/453/2203*17700</f>
        <v>1181.5878787987808</v>
      </c>
      <c r="I11" s="5">
        <f>C11*(33.4)*0.0066/453/2203*48200</f>
        <v>23.79710752718297</v>
      </c>
      <c r="J11" s="5">
        <f>C11*(33.4)*0.0116/453/2203*845000</f>
        <v>733.24295228670792</v>
      </c>
      <c r="K11" s="5">
        <f t="shared" ref="K11:K36" si="22">SUM(D11+E11+F11+H11+I11+J11)</f>
        <v>3270422.4275270933</v>
      </c>
      <c r="L11" s="5">
        <f>K11/(1+0.07)^9</f>
        <v>1778893.1108359464</v>
      </c>
      <c r="M11" s="5">
        <f t="shared" si="6"/>
        <v>1814495.2251113607</v>
      </c>
      <c r="N11" s="2">
        <f t="shared" si="17"/>
        <v>12155.0625</v>
      </c>
      <c r="O11" s="2">
        <f t="shared" si="7"/>
        <v>552.50284090909088</v>
      </c>
      <c r="P11" s="2">
        <f t="shared" si="8"/>
        <v>27625.142045454544</v>
      </c>
      <c r="Q11" s="5">
        <f t="shared" si="9"/>
        <v>43647.724431818177</v>
      </c>
      <c r="R11" s="5">
        <f>SUM(Q11/(1+0.07)^9)</f>
        <v>23741.470105480417</v>
      </c>
      <c r="S11" s="5">
        <f>SUM(P11*0.8924/453/2203*17700)</f>
        <v>437.24479530335043</v>
      </c>
      <c r="T11" s="5">
        <f>SUM(P11*0.0066/453/2203*48200)</f>
        <v>8.8060834037270066</v>
      </c>
      <c r="U11" s="5">
        <f>SUM(P11*0.0116/453/2203*854000)</f>
        <v>274.2254012029461</v>
      </c>
      <c r="V11" s="5">
        <f>SUM(P11/6*10180/453/2203*61)</f>
        <v>2864.9574961473641</v>
      </c>
      <c r="W11" s="5">
        <f t="shared" si="10"/>
        <v>720.2762799100235</v>
      </c>
      <c r="X11" s="11">
        <f>SUM(V11/(1+0.03)^9)</f>
        <v>2195.7513625006418</v>
      </c>
      <c r="Y11" s="5">
        <f>SUM(W11/(1+0.07)^9)</f>
        <v>391.78257262604649</v>
      </c>
      <c r="Z11" s="5">
        <f t="shared" si="11"/>
        <v>561.30874074649716</v>
      </c>
      <c r="AA11" s="5">
        <f t="shared" si="12"/>
        <v>355.92190463522093</v>
      </c>
      <c r="AB11" s="5">
        <f t="shared" si="13"/>
        <v>136.37137832052125</v>
      </c>
      <c r="AC11" s="5">
        <f t="shared" si="14"/>
        <v>1053.6020237022394</v>
      </c>
      <c r="AD11" s="5">
        <f>SUM(AC11)/(1+0.07)^9</f>
        <v>573.0896919465913</v>
      </c>
      <c r="AE11" s="5">
        <f t="shared" si="15"/>
        <v>26902.093732553698</v>
      </c>
      <c r="AH11" s="5">
        <f t="shared" si="21"/>
        <v>193476.60800000001</v>
      </c>
      <c r="AI11" s="5">
        <f t="shared" si="18"/>
        <v>128921.63323119566</v>
      </c>
      <c r="AL11" s="5">
        <f t="shared" si="16"/>
        <v>128921.63323119566</v>
      </c>
      <c r="AM11" s="5">
        <f t="shared" si="1"/>
        <v>1841397.3188439144</v>
      </c>
      <c r="AQ11" s="14">
        <f t="shared" si="19"/>
        <v>3904.3462455199997</v>
      </c>
    </row>
    <row r="12" spans="1:45" x14ac:dyDescent="0.25">
      <c r="A12">
        <f t="shared" si="0"/>
        <v>2030</v>
      </c>
      <c r="B12" s="1">
        <f t="shared" si="20"/>
        <v>55073.177599999995</v>
      </c>
      <c r="C12" s="2">
        <f t="shared" si="2"/>
        <v>2503.326254545454</v>
      </c>
      <c r="D12" s="5">
        <f t="shared" si="3"/>
        <v>1327764.2454109089</v>
      </c>
      <c r="E12" s="5">
        <f t="shared" si="4"/>
        <v>842470.77085405402</v>
      </c>
      <c r="F12" s="5">
        <f t="shared" si="5"/>
        <v>1490466.8392741359</v>
      </c>
      <c r="G12" s="5">
        <f>SUM(((C12*(3.34*60))/(6))*((10180/453)/(2203))*62)/(1+0.03)^10</f>
        <v>39347.617623504149</v>
      </c>
      <c r="H12" s="5">
        <f t="shared" ref="H12:H35" si="23">C12*(33.4)*0.8924/453/2203*18100</f>
        <v>1353.2852812999367</v>
      </c>
      <c r="I12" s="5">
        <f t="shared" ref="I12:I36" si="24">C12*(33.4)*0.0066/453/2203*49100</f>
        <v>27.150426081635814</v>
      </c>
      <c r="J12" s="5">
        <f>C12*(33.4)*0.0116/453/2203*867600</f>
        <v>843.19642089043975</v>
      </c>
      <c r="K12" s="5">
        <f t="shared" si="22"/>
        <v>3662925.4876673711</v>
      </c>
      <c r="L12" s="5">
        <f>K12/(1+0.07)^10</f>
        <v>1862045.5787979241</v>
      </c>
      <c r="M12" s="5">
        <f t="shared" si="6"/>
        <v>1901393.1964214284</v>
      </c>
      <c r="N12" s="2">
        <f t="shared" si="17"/>
        <v>12762.815624999999</v>
      </c>
      <c r="O12" s="2">
        <f t="shared" si="7"/>
        <v>580.12798295454547</v>
      </c>
      <c r="P12" s="2">
        <f t="shared" si="8"/>
        <v>29006.399147727272</v>
      </c>
      <c r="Q12" s="5">
        <f t="shared" si="9"/>
        <v>45830.110653409094</v>
      </c>
      <c r="R12" s="5">
        <f>SUM(Q12/(1+0.07)^10)</f>
        <v>23297.704309116303</v>
      </c>
      <c r="S12" s="5">
        <f>SUM(P12*0.8924/453/2203*18100)</f>
        <v>469.48233529605517</v>
      </c>
      <c r="T12" s="5">
        <f>SUM(P12*0.0066/453/2203*49100)</f>
        <v>9.4190379642976314</v>
      </c>
      <c r="U12" s="5">
        <f>SUM(P12*0.0116/453/2203*867600)</f>
        <v>292.52207961107712</v>
      </c>
      <c r="V12" s="5">
        <f>SUM(P12/6*10180/453/2203*62)</f>
        <v>3057.5202131015308</v>
      </c>
      <c r="W12" s="5">
        <f t="shared" si="10"/>
        <v>771.42345287142984</v>
      </c>
      <c r="X12" s="11">
        <f>SUM(V12/(1+0.03)^10)</f>
        <v>2275.0821852425875</v>
      </c>
      <c r="Y12" s="5">
        <f>SUM(W12/(1+0.07)^10)</f>
        <v>392.15256620331121</v>
      </c>
      <c r="Z12" s="5">
        <f t="shared" si="11"/>
        <v>589.37417778382201</v>
      </c>
      <c r="AA12" s="5">
        <f t="shared" si="12"/>
        <v>373.71799986698204</v>
      </c>
      <c r="AB12" s="5">
        <f t="shared" si="13"/>
        <v>143.18994723654731</v>
      </c>
      <c r="AC12" s="5">
        <f t="shared" si="14"/>
        <v>1106.2821248873513</v>
      </c>
      <c r="AD12" s="5">
        <f>SUM(AC12)/(1+0.07)^10</f>
        <v>562.3777350877765</v>
      </c>
      <c r="AE12" s="5">
        <f t="shared" si="15"/>
        <v>26527.316795649978</v>
      </c>
      <c r="AH12" s="5">
        <f t="shared" si="21"/>
        <v>201215.67232000001</v>
      </c>
      <c r="AI12" s="5">
        <f t="shared" si="18"/>
        <v>134078.49856044349</v>
      </c>
      <c r="AL12" s="5">
        <f t="shared" si="16"/>
        <v>134078.49856044349</v>
      </c>
      <c r="AM12" s="5">
        <f t="shared" si="1"/>
        <v>1927920.5132170783</v>
      </c>
      <c r="AQ12" s="14">
        <f t="shared" si="19"/>
        <v>3943.3897079751996</v>
      </c>
    </row>
    <row r="13" spans="1:45" x14ac:dyDescent="0.25">
      <c r="A13">
        <f t="shared" si="0"/>
        <v>2031</v>
      </c>
      <c r="B13" s="1">
        <f t="shared" si="20"/>
        <v>61681.958911999995</v>
      </c>
      <c r="C13" s="2">
        <f t="shared" si="2"/>
        <v>2803.7254050909087</v>
      </c>
      <c r="D13" s="5">
        <f t="shared" si="3"/>
        <v>1487095.9548602179</v>
      </c>
      <c r="E13" s="5">
        <f t="shared" si="4"/>
        <v>943567.26335654047</v>
      </c>
      <c r="F13" s="5">
        <f t="shared" si="5"/>
        <v>1669322.8599870321</v>
      </c>
      <c r="G13" s="5">
        <f>SUM(((C13*(3.34*60))/(6))*((10180/453)/(2203))*63)/(1+0.03)^11</f>
        <v>43475.851855847992</v>
      </c>
      <c r="H13" s="5">
        <f t="shared" si="23"/>
        <v>1515.6795150559294</v>
      </c>
      <c r="I13" s="5">
        <f t="shared" si="24"/>
        <v>30.40847721143211</v>
      </c>
      <c r="J13" s="5">
        <f t="shared" ref="J13:J36" si="25">C13*(33.4)*0.0116/453/2203*867600</f>
        <v>944.37999139729232</v>
      </c>
      <c r="K13" s="5">
        <f t="shared" si="22"/>
        <v>4102476.5461874548</v>
      </c>
      <c r="L13" s="5">
        <f>K13/(1+0.07)^11</f>
        <v>1949057.0544426863</v>
      </c>
      <c r="M13" s="5">
        <f t="shared" si="6"/>
        <v>1992532.9062985342</v>
      </c>
      <c r="N13" s="2">
        <f t="shared" si="17"/>
        <v>13400.956406249999</v>
      </c>
      <c r="O13" s="2">
        <f t="shared" si="7"/>
        <v>609.13438210227275</v>
      </c>
      <c r="P13" s="2">
        <f t="shared" si="8"/>
        <v>30456.719105113636</v>
      </c>
      <c r="Q13" s="5">
        <f t="shared" si="9"/>
        <v>48121.61618607954</v>
      </c>
      <c r="R13" s="5">
        <f>SUM(Q13/(1+0.07)^11)</f>
        <v>22862.23320053468</v>
      </c>
      <c r="S13" s="5">
        <f t="shared" ref="S13:S36" si="26">SUM(P13*0.8924/453/2203*18100)</f>
        <v>492.95645206085794</v>
      </c>
      <c r="T13" s="5">
        <f t="shared" ref="T13:T36" si="27">SUM(P13*0.0066/453/2203*49100)</f>
        <v>9.8899898625125129</v>
      </c>
      <c r="U13" s="5">
        <f t="shared" ref="U13:U36" si="28">SUM(P13*0.0116/453/2203*867600)</f>
        <v>307.14818359163093</v>
      </c>
      <c r="V13" s="5">
        <f>SUM(P13/6*10180/453/2203*63)</f>
        <v>3262.1768080107468</v>
      </c>
      <c r="W13" s="5">
        <f t="shared" si="10"/>
        <v>809.99462551500142</v>
      </c>
      <c r="X13" s="11">
        <f>SUM(V13/(1+0.03)^11)</f>
        <v>2356.6659341339991</v>
      </c>
      <c r="Y13" s="5">
        <f>SUM(W13/(1+0.07)^11)</f>
        <v>384.82261169483809</v>
      </c>
      <c r="Z13" s="5">
        <f t="shared" si="11"/>
        <v>618.84288667301303</v>
      </c>
      <c r="AA13" s="5">
        <f t="shared" si="12"/>
        <v>392.40389986033108</v>
      </c>
      <c r="AB13" s="5">
        <f t="shared" si="13"/>
        <v>150.3494445983747</v>
      </c>
      <c r="AC13" s="5">
        <f t="shared" si="14"/>
        <v>1161.5962311317189</v>
      </c>
      <c r="AD13" s="5">
        <f>SUM(AC13)/(1+0.07)^11</f>
        <v>551.86600172164981</v>
      </c>
      <c r="AE13" s="5">
        <f t="shared" si="15"/>
        <v>26155.587748085167</v>
      </c>
      <c r="AH13" s="5">
        <f t="shared" si="21"/>
        <v>209264.29921280002</v>
      </c>
      <c r="AI13" s="5">
        <f t="shared" si="18"/>
        <v>139441.63850286123</v>
      </c>
      <c r="AJ13" s="5">
        <v>423250</v>
      </c>
      <c r="AK13" s="5">
        <f>SUM(AJ13)/(1+0.07)^11</f>
        <v>201083.02607104604</v>
      </c>
      <c r="AL13" s="5">
        <f t="shared" si="16"/>
        <v>340524.66457390727</v>
      </c>
      <c r="AM13" s="5">
        <f t="shared" si="1"/>
        <v>2018688.4940466194</v>
      </c>
      <c r="AQ13" s="14">
        <f t="shared" si="19"/>
        <v>3982.8236050549517</v>
      </c>
    </row>
    <row r="14" spans="1:45" x14ac:dyDescent="0.25">
      <c r="A14">
        <f t="shared" si="0"/>
        <v>2032</v>
      </c>
      <c r="B14" s="1">
        <f t="shared" si="20"/>
        <v>69083.793981439987</v>
      </c>
      <c r="C14" s="2">
        <f t="shared" si="2"/>
        <v>3140.1724537018176</v>
      </c>
      <c r="D14" s="5">
        <f t="shared" si="3"/>
        <v>1665547.4694434442</v>
      </c>
      <c r="E14" s="5">
        <f t="shared" si="4"/>
        <v>1056795.3349593251</v>
      </c>
      <c r="F14" s="5">
        <f t="shared" si="5"/>
        <v>1869641.603185476</v>
      </c>
      <c r="G14" s="5">
        <f>SUM(((C14*(3.34*60))/(6))*((10180/453)/(2203))*64)/(1+0.03)^12</f>
        <v>48025.104962662721</v>
      </c>
      <c r="H14" s="5">
        <f t="shared" si="23"/>
        <v>1697.5610568626407</v>
      </c>
      <c r="I14" s="5">
        <f t="shared" si="24"/>
        <v>34.05749447680396</v>
      </c>
      <c r="J14" s="5">
        <f t="shared" si="25"/>
        <v>1057.7055903649675</v>
      </c>
      <c r="K14" s="5">
        <f t="shared" si="22"/>
        <v>4594773.7317299489</v>
      </c>
      <c r="L14" s="5">
        <f>K14/(1+0.07)^12</f>
        <v>2040134.4868932792</v>
      </c>
      <c r="M14" s="5">
        <f t="shared" si="6"/>
        <v>2088159.591855942</v>
      </c>
      <c r="N14" s="2">
        <f t="shared" si="17"/>
        <v>14071.0042265625</v>
      </c>
      <c r="O14" s="2">
        <f t="shared" si="7"/>
        <v>639.59110120738637</v>
      </c>
      <c r="P14" s="2">
        <f t="shared" si="8"/>
        <v>31979.555060369319</v>
      </c>
      <c r="Q14" s="5">
        <f t="shared" si="9"/>
        <v>50527.696995383521</v>
      </c>
      <c r="R14" s="5">
        <f>SUM(Q14/(1+0.07)^12)</f>
        <v>22434.901738842451</v>
      </c>
      <c r="S14" s="5">
        <f t="shared" si="26"/>
        <v>517.60427466390081</v>
      </c>
      <c r="T14" s="5">
        <f t="shared" si="27"/>
        <v>10.38448935563814</v>
      </c>
      <c r="U14" s="5">
        <f t="shared" si="28"/>
        <v>322.50559277121249</v>
      </c>
      <c r="V14" s="5">
        <f>SUM(P14/6*10180/453/2203*64)</f>
        <v>3479.6552618781297</v>
      </c>
      <c r="W14" s="5">
        <f t="shared" si="10"/>
        <v>850.49435679075145</v>
      </c>
      <c r="X14" s="11">
        <f>SUM(V14/(1+0.03)^12)</f>
        <v>2440.5601906889315</v>
      </c>
      <c r="Y14" s="5">
        <f>SUM(W14/(1+0.07)^12)</f>
        <v>377.6296656818505</v>
      </c>
      <c r="Z14" s="5">
        <f t="shared" si="11"/>
        <v>649.78503100666387</v>
      </c>
      <c r="AA14" s="5">
        <f t="shared" si="12"/>
        <v>412.02409485334772</v>
      </c>
      <c r="AB14" s="5">
        <f t="shared" si="13"/>
        <v>157.86691682829343</v>
      </c>
      <c r="AC14" s="5">
        <f t="shared" si="14"/>
        <v>1219.676042688305</v>
      </c>
      <c r="AD14" s="5">
        <f>SUM(AC14)/(1+0.07)^12</f>
        <v>541.55074935302093</v>
      </c>
      <c r="AE14" s="5">
        <f t="shared" si="15"/>
        <v>25794.642344566255</v>
      </c>
      <c r="AH14" s="5">
        <f t="shared" si="21"/>
        <v>217634.87118131202</v>
      </c>
      <c r="AI14" s="5">
        <f t="shared" si="18"/>
        <v>145019.30404297568</v>
      </c>
      <c r="AK14" s="5">
        <f t="shared" ref="AK14:AK36" si="29">SUM(AJ14)/(1+0.07)^11</f>
        <v>0</v>
      </c>
      <c r="AL14" s="5">
        <f t="shared" si="16"/>
        <v>145019.30404297568</v>
      </c>
      <c r="AM14" s="5">
        <f t="shared" si="1"/>
        <v>2113954.2342005083</v>
      </c>
      <c r="AQ14" s="14">
        <f t="shared" si="19"/>
        <v>4022.6518411055013</v>
      </c>
    </row>
    <row r="15" spans="1:45" x14ac:dyDescent="0.25">
      <c r="A15">
        <f t="shared" si="0"/>
        <v>2033</v>
      </c>
      <c r="B15" s="1">
        <f t="shared" si="20"/>
        <v>77373.849259212788</v>
      </c>
      <c r="C15" s="2">
        <f t="shared" si="2"/>
        <v>3516.9931481460362</v>
      </c>
      <c r="D15" s="5">
        <f t="shared" si="3"/>
        <v>1865413.1657766576</v>
      </c>
      <c r="E15" s="5">
        <f t="shared" si="4"/>
        <v>1183610.7751544444</v>
      </c>
      <c r="F15" s="5">
        <f t="shared" si="5"/>
        <v>2093998.595567733</v>
      </c>
      <c r="G15" s="5">
        <f>SUM(((C15*(3.34*60))/(6))*((10180/453)/(2203))*65)/(1+0.03)^13</f>
        <v>53037.433878668795</v>
      </c>
      <c r="H15" s="5">
        <f t="shared" si="23"/>
        <v>1901.2683836861579</v>
      </c>
      <c r="I15" s="5">
        <f t="shared" si="24"/>
        <v>38.144393814020447</v>
      </c>
      <c r="J15" s="5">
        <f t="shared" si="25"/>
        <v>1184.6302612087638</v>
      </c>
      <c r="K15" s="5">
        <f t="shared" si="22"/>
        <v>5146146.5795375444</v>
      </c>
      <c r="L15" s="5">
        <f>K15/(1+0.07)^13</f>
        <v>2135467.8741312833</v>
      </c>
      <c r="M15" s="5">
        <f t="shared" si="6"/>
        <v>2188505.3080099518</v>
      </c>
      <c r="N15" s="2">
        <f t="shared" si="17"/>
        <v>14774.554437890625</v>
      </c>
      <c r="O15" s="2">
        <f t="shared" si="7"/>
        <v>671.57065626775568</v>
      </c>
      <c r="P15" s="2">
        <f t="shared" si="8"/>
        <v>33578.532813387785</v>
      </c>
      <c r="Q15" s="5">
        <f t="shared" si="9"/>
        <v>53054.081845152701</v>
      </c>
      <c r="R15" s="5">
        <f>SUM(Q15/(1+0.07)^13)</f>
        <v>22015.557781107076</v>
      </c>
      <c r="S15" s="5">
        <f t="shared" si="26"/>
        <v>543.48448839709579</v>
      </c>
      <c r="T15" s="5">
        <f t="shared" si="27"/>
        <v>10.903713823420045</v>
      </c>
      <c r="U15" s="5">
        <f t="shared" si="28"/>
        <v>338.63087240977308</v>
      </c>
      <c r="V15" s="5">
        <f>SUM(P15/6*10180/453/2203*65)</f>
        <v>3710.7261191122238</v>
      </c>
      <c r="W15" s="5">
        <f t="shared" si="10"/>
        <v>893.01907463028897</v>
      </c>
      <c r="X15" s="11">
        <f>SUM(V15/(1+0.03)^13)</f>
        <v>2526.8239231571533</v>
      </c>
      <c r="Y15" s="5">
        <f>SUM(W15/(1+0.07)^13)</f>
        <v>370.57116725789064</v>
      </c>
      <c r="Z15" s="5">
        <f t="shared" si="11"/>
        <v>682.27428255699692</v>
      </c>
      <c r="AA15" s="5">
        <f t="shared" si="12"/>
        <v>432.62529959601511</v>
      </c>
      <c r="AB15" s="5">
        <f t="shared" si="13"/>
        <v>165.76026266970808</v>
      </c>
      <c r="AC15" s="5">
        <f t="shared" si="14"/>
        <v>1280.6598448227201</v>
      </c>
      <c r="AD15" s="5">
        <f>SUM(AC15)/(1+0.07)^13</f>
        <v>531.42830543988032</v>
      </c>
      <c r="AE15" s="5">
        <f t="shared" si="15"/>
        <v>25444.381176962001</v>
      </c>
      <c r="AH15" s="5">
        <f t="shared" si="21"/>
        <v>226340.26602856451</v>
      </c>
      <c r="AI15" s="5">
        <f t="shared" si="18"/>
        <v>150820.07620469472</v>
      </c>
      <c r="AK15" s="5">
        <f t="shared" si="29"/>
        <v>0</v>
      </c>
      <c r="AL15" s="5">
        <f t="shared" si="16"/>
        <v>150820.07620469472</v>
      </c>
      <c r="AM15" s="5">
        <f t="shared" si="1"/>
        <v>2213949.6891869139</v>
      </c>
      <c r="AQ15" s="14">
        <f t="shared" si="19"/>
        <v>4062.8783595165564</v>
      </c>
    </row>
    <row r="16" spans="1:45" x14ac:dyDescent="0.25">
      <c r="A16">
        <f t="shared" si="0"/>
        <v>2034</v>
      </c>
      <c r="B16" s="1">
        <f t="shared" si="20"/>
        <v>86658.711170318318</v>
      </c>
      <c r="C16" s="2">
        <f t="shared" si="2"/>
        <v>3939.0323259235602</v>
      </c>
      <c r="D16" s="5">
        <f t="shared" si="3"/>
        <v>2089262.7456698562</v>
      </c>
      <c r="E16" s="5">
        <f t="shared" si="4"/>
        <v>1325644.0681729773</v>
      </c>
      <c r="F16" s="5">
        <f t="shared" si="5"/>
        <v>2345278.4270358612</v>
      </c>
      <c r="G16" s="5">
        <f>SUM(((C16*(3.34*60))/(6))*((10180/453)/(2203))*66)/(1+0.03)^14</f>
        <v>58559.030803752001</v>
      </c>
      <c r="H16" s="5">
        <f t="shared" si="23"/>
        <v>2129.4205897284965</v>
      </c>
      <c r="I16" s="5">
        <f t="shared" si="24"/>
        <v>42.721721071702895</v>
      </c>
      <c r="J16" s="5">
        <f t="shared" si="25"/>
        <v>1326.7858925538151</v>
      </c>
      <c r="K16" s="5">
        <f t="shared" si="22"/>
        <v>5763684.1690820483</v>
      </c>
      <c r="L16" s="5">
        <f>K16/(1+0.07)^14</f>
        <v>2235256.0925486325</v>
      </c>
      <c r="M16" s="5">
        <f t="shared" si="6"/>
        <v>2293815.1233523847</v>
      </c>
      <c r="N16" s="2">
        <f t="shared" si="17"/>
        <v>15513.282159785156</v>
      </c>
      <c r="O16" s="2">
        <f t="shared" si="7"/>
        <v>705.1491890811435</v>
      </c>
      <c r="P16" s="2">
        <f t="shared" si="8"/>
        <v>35257.459454057178</v>
      </c>
      <c r="Q16" s="5">
        <f t="shared" si="9"/>
        <v>55706.785937410335</v>
      </c>
      <c r="R16" s="5">
        <f>SUM(Q16/(1+0.07)^14)</f>
        <v>21604.052028189188</v>
      </c>
      <c r="S16" s="5">
        <f t="shared" si="26"/>
        <v>570.6587128169507</v>
      </c>
      <c r="T16" s="5">
        <f t="shared" si="27"/>
        <v>11.44889951459105</v>
      </c>
      <c r="U16" s="5">
        <f t="shared" si="28"/>
        <v>355.56241603026183</v>
      </c>
      <c r="V16" s="5">
        <f>SUM(P16/6*10180/453/2203*66)</f>
        <v>3956.2049239150333</v>
      </c>
      <c r="W16" s="5">
        <f t="shared" si="10"/>
        <v>937.67002836180359</v>
      </c>
      <c r="X16" s="11">
        <f>SUM(V16/(1+0.03)^14)</f>
        <v>2615.5175186675242</v>
      </c>
      <c r="Y16" s="5">
        <f>SUM(W16/(1+0.07)^14)</f>
        <v>363.64460338391143</v>
      </c>
      <c r="Z16" s="5">
        <f t="shared" si="11"/>
        <v>716.38799668484683</v>
      </c>
      <c r="AA16" s="5">
        <f t="shared" si="12"/>
        <v>454.2565645758159</v>
      </c>
      <c r="AB16" s="5">
        <f t="shared" si="13"/>
        <v>174.04827580319352</v>
      </c>
      <c r="AC16" s="5">
        <f t="shared" si="14"/>
        <v>1344.6928370638561</v>
      </c>
      <c r="AD16" s="5">
        <f>SUM(AC16)/(1+0.07)^14</f>
        <v>521.49506608586387</v>
      </c>
      <c r="AE16" s="5">
        <f t="shared" si="15"/>
        <v>25104.70921632649</v>
      </c>
      <c r="AH16" s="5">
        <f t="shared" si="21"/>
        <v>235393.8766697071</v>
      </c>
      <c r="AI16" s="5">
        <f t="shared" si="18"/>
        <v>156852.87925288253</v>
      </c>
      <c r="AK16" s="5">
        <f t="shared" si="29"/>
        <v>0</v>
      </c>
      <c r="AL16" s="5">
        <f t="shared" si="16"/>
        <v>156852.87925288253</v>
      </c>
      <c r="AM16" s="5">
        <f t="shared" si="1"/>
        <v>2318919.8325687111</v>
      </c>
      <c r="AQ16" s="14">
        <f t="shared" si="19"/>
        <v>4103.5071431117221</v>
      </c>
    </row>
    <row r="17" spans="1:43" x14ac:dyDescent="0.25">
      <c r="A17">
        <f t="shared" si="0"/>
        <v>2035</v>
      </c>
      <c r="B17" s="1">
        <f t="shared" si="20"/>
        <v>97057.756510756517</v>
      </c>
      <c r="C17" s="2">
        <f t="shared" si="2"/>
        <v>4411.7162050343877</v>
      </c>
      <c r="D17" s="5">
        <f t="shared" si="3"/>
        <v>2339974.2751502395</v>
      </c>
      <c r="E17" s="5">
        <f t="shared" si="4"/>
        <v>1484721.3563537351</v>
      </c>
      <c r="F17" s="5">
        <f t="shared" si="5"/>
        <v>2626711.8382801646</v>
      </c>
      <c r="G17" s="5">
        <f>SUM(((C17*(3.34*60))/(6))*((10180/453)/(2203))*67)/(1+0.03)^15</f>
        <v>64640.624764835986</v>
      </c>
      <c r="H17" s="5">
        <f t="shared" si="23"/>
        <v>2384.9510604959164</v>
      </c>
      <c r="I17" s="5">
        <f t="shared" si="24"/>
        <v>47.848327600307243</v>
      </c>
      <c r="J17" s="5">
        <f t="shared" si="25"/>
        <v>1486.0001996602732</v>
      </c>
      <c r="K17" s="5">
        <f t="shared" si="22"/>
        <v>6455326.2693718961</v>
      </c>
      <c r="L17" s="5">
        <f>K17/(1+0.07)^15</f>
        <v>2339707.3118266067</v>
      </c>
      <c r="M17" s="5">
        <f t="shared" si="6"/>
        <v>2404347.9365914427</v>
      </c>
      <c r="N17" s="2">
        <f t="shared" si="17"/>
        <v>16288.946267774414</v>
      </c>
      <c r="O17" s="2">
        <f t="shared" si="7"/>
        <v>740.4066485352007</v>
      </c>
      <c r="P17" s="2">
        <f t="shared" si="8"/>
        <v>37020.332426760033</v>
      </c>
      <c r="Q17" s="5">
        <f t="shared" si="9"/>
        <v>58492.125234280851</v>
      </c>
      <c r="R17" s="5">
        <f>SUM(Q17/(1+0.07)^15)</f>
        <v>21200.237971587518</v>
      </c>
      <c r="S17" s="5">
        <f t="shared" si="26"/>
        <v>599.19164845779824</v>
      </c>
      <c r="T17" s="5">
        <f t="shared" si="27"/>
        <v>12.021344490320601</v>
      </c>
      <c r="U17" s="5">
        <f t="shared" si="28"/>
        <v>373.34053683177484</v>
      </c>
      <c r="V17" s="5">
        <f>SUM(P17/6*10180/453/2203*67)</f>
        <v>4216.9547939003414</v>
      </c>
      <c r="W17" s="5">
        <f t="shared" si="10"/>
        <v>984.55352977989378</v>
      </c>
      <c r="X17" s="11">
        <f>SUM(V17/(1+0.03)^15)</f>
        <v>2706.7028160967975</v>
      </c>
      <c r="Y17" s="5">
        <f>SUM(W17/(1+0.07)^15)</f>
        <v>356.84750799355794</v>
      </c>
      <c r="Z17" s="5">
        <f t="shared" si="11"/>
        <v>752.20739651908912</v>
      </c>
      <c r="AA17" s="5">
        <f t="shared" si="12"/>
        <v>476.96939280460663</v>
      </c>
      <c r="AB17" s="5">
        <f t="shared" si="13"/>
        <v>182.75068959335317</v>
      </c>
      <c r="AC17" s="5">
        <f t="shared" si="14"/>
        <v>1411.9274789170488</v>
      </c>
      <c r="AD17" s="5">
        <f>SUM(AC17)/(1+0.07)^15</f>
        <v>511.74749475715606</v>
      </c>
      <c r="AE17" s="5">
        <f t="shared" si="15"/>
        <v>24775.535790435031</v>
      </c>
      <c r="AH17" s="5">
        <f t="shared" si="21"/>
        <v>244809.63173649539</v>
      </c>
      <c r="AI17" s="5">
        <f t="shared" si="18"/>
        <v>163126.99442299781</v>
      </c>
      <c r="AK17" s="5">
        <f t="shared" si="29"/>
        <v>0</v>
      </c>
      <c r="AL17" s="5">
        <f t="shared" si="16"/>
        <v>163126.99442299781</v>
      </c>
      <c r="AM17" s="5">
        <f t="shared" si="1"/>
        <v>2429123.4723818777</v>
      </c>
      <c r="AQ17" s="14">
        <f t="shared" si="19"/>
        <v>4144.5422145428392</v>
      </c>
    </row>
    <row r="18" spans="1:43" x14ac:dyDescent="0.25">
      <c r="A18">
        <f t="shared" si="0"/>
        <v>2036</v>
      </c>
      <c r="B18" s="1">
        <f t="shared" si="20"/>
        <v>108704.6872920473</v>
      </c>
      <c r="C18" s="2">
        <f t="shared" si="2"/>
        <v>4941.1221496385133</v>
      </c>
      <c r="D18" s="5">
        <f t="shared" si="3"/>
        <v>2620771.1881682677</v>
      </c>
      <c r="E18" s="5">
        <f t="shared" si="4"/>
        <v>1662887.919116183</v>
      </c>
      <c r="F18" s="5">
        <f t="shared" si="5"/>
        <v>2941917.258873784</v>
      </c>
      <c r="G18" s="5">
        <f>SUM(((C18*(3.34*60))/(6))*((10180/453)/(2203))*69)/(1+0.03)^16</f>
        <v>72387.008865766198</v>
      </c>
      <c r="H18" s="5">
        <f t="shared" si="23"/>
        <v>2671.1451877554259</v>
      </c>
      <c r="I18" s="5">
        <f t="shared" si="24"/>
        <v>53.590126912344097</v>
      </c>
      <c r="J18" s="5">
        <f t="shared" si="25"/>
        <v>1664.3202236195057</v>
      </c>
      <c r="K18" s="5">
        <f t="shared" si="22"/>
        <v>7229965.4216965213</v>
      </c>
      <c r="L18" s="5">
        <f>K18/(1+0.07)^16</f>
        <v>2449039.4292016812</v>
      </c>
      <c r="M18" s="5">
        <f t="shared" si="6"/>
        <v>2521426.4380674474</v>
      </c>
      <c r="N18" s="2">
        <f t="shared" ref="N18:N27" si="30">SUM(N17*0.0385)+N17</f>
        <v>16916.070699083728</v>
      </c>
      <c r="O18" s="2">
        <f t="shared" si="7"/>
        <v>768.91230450380579</v>
      </c>
      <c r="P18" s="2">
        <f t="shared" si="8"/>
        <v>38445.615225190289</v>
      </c>
      <c r="Q18" s="5">
        <f t="shared" si="9"/>
        <v>60744.072055800658</v>
      </c>
      <c r="R18" s="5">
        <f>SUM(Q18/(1+0.07)^16)</f>
        <v>20576.118816349197</v>
      </c>
      <c r="S18" s="5">
        <f t="shared" si="26"/>
        <v>622.2605269234233</v>
      </c>
      <c r="T18" s="5">
        <f t="shared" si="27"/>
        <v>12.484166253197943</v>
      </c>
      <c r="U18" s="5">
        <f t="shared" si="28"/>
        <v>387.71414749979817</v>
      </c>
      <c r="V18" s="5">
        <f>SUM(P18/6*10180/453/2203*69)</f>
        <v>4510.0331520764157</v>
      </c>
      <c r="W18" s="5">
        <f t="shared" si="10"/>
        <v>1022.4588406764194</v>
      </c>
      <c r="X18" s="11">
        <f>SUM(V18/(1+0.03)^16)</f>
        <v>2810.5035551607048</v>
      </c>
      <c r="Y18" s="5">
        <f>SUM(W18/(1+0.07)^16)</f>
        <v>346.34218416010265</v>
      </c>
      <c r="Z18" s="5">
        <f t="shared" si="11"/>
        <v>781.16738128507404</v>
      </c>
      <c r="AA18" s="5">
        <f t="shared" si="12"/>
        <v>495.33271442758394</v>
      </c>
      <c r="AB18" s="5">
        <f t="shared" si="13"/>
        <v>189.78659114269726</v>
      </c>
      <c r="AC18" s="5">
        <f t="shared" si="14"/>
        <v>1466.2866868553554</v>
      </c>
      <c r="AD18" s="5">
        <f>SUM(AC18)/(1+0.07)^16</f>
        <v>496.68203112645483</v>
      </c>
      <c r="AE18" s="5">
        <f t="shared" si="15"/>
        <v>24229.646586796458</v>
      </c>
      <c r="AH18" s="5">
        <f t="shared" si="21"/>
        <v>254602.01700595522</v>
      </c>
      <c r="AI18" s="5">
        <f t="shared" si="18"/>
        <v>169652.07419991776</v>
      </c>
      <c r="AK18" s="5">
        <f t="shared" si="29"/>
        <v>0</v>
      </c>
      <c r="AL18" s="5">
        <f t="shared" si="16"/>
        <v>169652.07419991776</v>
      </c>
      <c r="AM18" s="5">
        <f t="shared" si="1"/>
        <v>2545656.0846542437</v>
      </c>
      <c r="AQ18" s="14">
        <f t="shared" si="19"/>
        <v>4185.9876366882672</v>
      </c>
    </row>
    <row r="19" spans="1:43" x14ac:dyDescent="0.25">
      <c r="A19">
        <f t="shared" si="0"/>
        <v>2037</v>
      </c>
      <c r="B19" s="1">
        <f>+SUM(B18*0.05)+B18</f>
        <v>114139.92165664966</v>
      </c>
      <c r="C19" s="2">
        <f t="shared" si="2"/>
        <v>5188.1782571204394</v>
      </c>
      <c r="D19" s="5">
        <f t="shared" si="3"/>
        <v>2751809.7475766814</v>
      </c>
      <c r="E19" s="5">
        <f t="shared" si="4"/>
        <v>1746032.3150719921</v>
      </c>
      <c r="F19" s="5">
        <f t="shared" si="5"/>
        <v>3089013.1218174733</v>
      </c>
      <c r="G19" s="5">
        <f>SUM(((C19*(3.34*60))/(6))*((10180/453)/(2203))*70)/(1+0.03)^17</f>
        <v>74862.039561472018</v>
      </c>
      <c r="H19" s="5">
        <f t="shared" si="23"/>
        <v>2804.7024471431978</v>
      </c>
      <c r="I19" s="5">
        <f t="shared" si="24"/>
        <v>56.269633257961324</v>
      </c>
      <c r="J19" s="5">
        <f t="shared" si="25"/>
        <v>1747.5362348004808</v>
      </c>
      <c r="K19" s="5">
        <f t="shared" si="22"/>
        <v>7591463.6927813487</v>
      </c>
      <c r="L19" s="5">
        <f>K19/(1+0.07)^17</f>
        <v>2403262.9912726781</v>
      </c>
      <c r="M19" s="5">
        <f t="shared" si="6"/>
        <v>2478125.03083415</v>
      </c>
      <c r="N19" s="2">
        <f t="shared" si="30"/>
        <v>17567.339420998451</v>
      </c>
      <c r="O19" s="2">
        <f t="shared" si="7"/>
        <v>798.51542822720228</v>
      </c>
      <c r="P19" s="2">
        <f t="shared" si="8"/>
        <v>39925.771411360111</v>
      </c>
      <c r="Q19" s="5">
        <f t="shared" si="9"/>
        <v>63082.718829948972</v>
      </c>
      <c r="R19" s="5">
        <f>SUM(Q19/(1+0.07)^17)</f>
        <v>19970.373262409939</v>
      </c>
      <c r="S19" s="5">
        <f t="shared" si="26"/>
        <v>646.21755720997498</v>
      </c>
      <c r="T19" s="5">
        <f t="shared" si="27"/>
        <v>12.964806653946061</v>
      </c>
      <c r="U19" s="5">
        <f t="shared" si="28"/>
        <v>402.64114217854035</v>
      </c>
      <c r="V19" s="5">
        <f>SUM(P19/6*10180/453/2203*70)</f>
        <v>4751.5486955100723</v>
      </c>
      <c r="W19" s="5">
        <f t="shared" si="10"/>
        <v>1061.8235060424613</v>
      </c>
      <c r="X19" s="11">
        <f>SUM(V19/(1+0.03)^17)</f>
        <v>2874.765104015863</v>
      </c>
      <c r="Y19" s="5">
        <f>SUM(W19/(1+0.07)^17)</f>
        <v>336.1461292058566</v>
      </c>
      <c r="Z19" s="5">
        <f t="shared" si="11"/>
        <v>811.24232546454925</v>
      </c>
      <c r="AA19" s="5">
        <f t="shared" si="12"/>
        <v>514.40302393304592</v>
      </c>
      <c r="AB19" s="5">
        <f t="shared" si="13"/>
        <v>197.09337490169108</v>
      </c>
      <c r="AC19" s="5">
        <f t="shared" si="14"/>
        <v>1522.7387242992861</v>
      </c>
      <c r="AD19" s="5">
        <f>SUM(AC19)/(1+0.07)^17</f>
        <v>482.06008348114318</v>
      </c>
      <c r="AE19" s="5">
        <f t="shared" si="15"/>
        <v>23663.344579112803</v>
      </c>
      <c r="AH19" s="5">
        <f t="shared" si="21"/>
        <v>264786.09768619342</v>
      </c>
      <c r="AI19" s="5">
        <f t="shared" si="18"/>
        <v>176438.15716791444</v>
      </c>
      <c r="AK19" s="5">
        <f t="shared" si="29"/>
        <v>0</v>
      </c>
      <c r="AL19" s="5">
        <f t="shared" si="16"/>
        <v>176438.15716791444</v>
      </c>
      <c r="AM19" s="5">
        <f t="shared" si="1"/>
        <v>2501788.3754132628</v>
      </c>
      <c r="AQ19" s="14">
        <f t="shared" si="19"/>
        <v>4227.8475130551496</v>
      </c>
    </row>
    <row r="20" spans="1:43" x14ac:dyDescent="0.25">
      <c r="A20">
        <f t="shared" si="0"/>
        <v>2038</v>
      </c>
      <c r="B20" s="1">
        <f t="shared" ref="B20:B28" si="31">+SUM(B19*0.05)+B19</f>
        <v>119846.91773948215</v>
      </c>
      <c r="C20" s="2">
        <f t="shared" si="2"/>
        <v>5447.5871699764612</v>
      </c>
      <c r="D20" s="5">
        <f t="shared" si="3"/>
        <v>2889400.2349555148</v>
      </c>
      <c r="E20" s="5">
        <f t="shared" si="4"/>
        <v>1833333.9308255916</v>
      </c>
      <c r="F20" s="5">
        <f t="shared" si="5"/>
        <v>3243463.7779083466</v>
      </c>
      <c r="G20" s="5">
        <f>SUM(((C20*(3.34*60))/(6))*((10180/453)/(2203))*71)/(1+0.03)^18</f>
        <v>77405.895274725888</v>
      </c>
      <c r="H20" s="5">
        <f t="shared" si="23"/>
        <v>2944.9375695003573</v>
      </c>
      <c r="I20" s="5">
        <f t="shared" si="24"/>
        <v>59.083114920859373</v>
      </c>
      <c r="J20" s="5">
        <f t="shared" si="25"/>
        <v>1834.9130465405053</v>
      </c>
      <c r="K20" s="5">
        <f t="shared" si="22"/>
        <v>7971036.8774204152</v>
      </c>
      <c r="L20" s="5">
        <f>K20/(1+0.07)^18</f>
        <v>2358342.1876974879</v>
      </c>
      <c r="M20" s="5">
        <f t="shared" si="6"/>
        <v>2435748.0829722136</v>
      </c>
      <c r="N20" s="2">
        <f t="shared" si="30"/>
        <v>18243.681988706892</v>
      </c>
      <c r="O20" s="2">
        <f t="shared" si="7"/>
        <v>829.25827221394957</v>
      </c>
      <c r="P20" s="2">
        <f t="shared" si="8"/>
        <v>41462.913610697477</v>
      </c>
      <c r="Q20" s="5">
        <f t="shared" si="9"/>
        <v>65511.403504902009</v>
      </c>
      <c r="R20" s="5">
        <f>SUM(Q20/(1+0.07)^18)</f>
        <v>19382.460404684789</v>
      </c>
      <c r="S20" s="5">
        <f t="shared" si="26"/>
        <v>671.09693316255914</v>
      </c>
      <c r="T20" s="5">
        <f t="shared" si="27"/>
        <v>13.463951710122982</v>
      </c>
      <c r="U20" s="5">
        <f t="shared" si="28"/>
        <v>418.14282615241416</v>
      </c>
      <c r="V20" s="5">
        <f>SUM(P20/6*10180/453/2203*71)</f>
        <v>5004.9759391484558</v>
      </c>
      <c r="W20" s="5">
        <f t="shared" si="10"/>
        <v>1102.7037110250963</v>
      </c>
      <c r="X20" s="11">
        <f>SUM(V20/(1+0.03)^18)</f>
        <v>2939.8958779050436</v>
      </c>
      <c r="Y20" s="5">
        <f>SUM(W20/(1+0.07)^18)</f>
        <v>326.25023848624494</v>
      </c>
      <c r="Z20" s="5">
        <f t="shared" si="11"/>
        <v>842.47515499493443</v>
      </c>
      <c r="AA20" s="5">
        <f t="shared" si="12"/>
        <v>534.20754035446816</v>
      </c>
      <c r="AB20" s="5">
        <f t="shared" si="13"/>
        <v>204.68146983540618</v>
      </c>
      <c r="AC20" s="5">
        <f t="shared" si="14"/>
        <v>1581.3641651848088</v>
      </c>
      <c r="AD20" s="5">
        <f>SUM(AC20)/(1+0.07)^18</f>
        <v>467.86859504221241</v>
      </c>
      <c r="AE20" s="5">
        <f t="shared" si="15"/>
        <v>23116.47511611829</v>
      </c>
      <c r="AH20" s="5">
        <f t="shared" si="21"/>
        <v>275377.54159364116</v>
      </c>
      <c r="AI20" s="5">
        <f t="shared" si="18"/>
        <v>183495.68345463101</v>
      </c>
      <c r="AK20" s="5">
        <f t="shared" si="29"/>
        <v>0</v>
      </c>
      <c r="AL20" s="5">
        <f t="shared" si="16"/>
        <v>183495.68345463101</v>
      </c>
      <c r="AM20" s="5">
        <f t="shared" si="1"/>
        <v>2458864.5580883319</v>
      </c>
      <c r="AQ20" s="14">
        <f t="shared" si="19"/>
        <v>4270.1259881857013</v>
      </c>
    </row>
    <row r="21" spans="1:43" x14ac:dyDescent="0.25">
      <c r="A21">
        <f t="shared" si="0"/>
        <v>2039</v>
      </c>
      <c r="B21" s="1">
        <f t="shared" si="31"/>
        <v>125839.26362645626</v>
      </c>
      <c r="C21" s="2">
        <f t="shared" si="2"/>
        <v>5719.9665284752846</v>
      </c>
      <c r="D21" s="5">
        <f t="shared" si="3"/>
        <v>3033870.2467032913</v>
      </c>
      <c r="E21" s="5">
        <f t="shared" si="4"/>
        <v>1925000.6273668716</v>
      </c>
      <c r="F21" s="5">
        <f t="shared" si="5"/>
        <v>3405636.9668037649</v>
      </c>
      <c r="G21" s="5">
        <f>SUM(((C21*(3.34*60))/(6))*((10180/453)/(2203))*72)/(1+0.03)^19</f>
        <v>80020.315640219866</v>
      </c>
      <c r="H21" s="5">
        <f t="shared" si="23"/>
        <v>3092.1844479753759</v>
      </c>
      <c r="I21" s="5">
        <f t="shared" si="24"/>
        <v>62.037270666902344</v>
      </c>
      <c r="J21" s="5">
        <f t="shared" si="25"/>
        <v>1926.6586988675301</v>
      </c>
      <c r="K21" s="5">
        <f t="shared" si="22"/>
        <v>8369588.7212914377</v>
      </c>
      <c r="L21" s="5">
        <f>K21/(1+0.07)^19</f>
        <v>2314261.0253106193</v>
      </c>
      <c r="M21" s="5">
        <f t="shared" si="6"/>
        <v>2394281.3409508392</v>
      </c>
      <c r="N21" s="2">
        <f t="shared" si="30"/>
        <v>18946.063745272109</v>
      </c>
      <c r="O21" s="2">
        <f t="shared" si="7"/>
        <v>861.18471569418682</v>
      </c>
      <c r="P21" s="2">
        <f t="shared" si="8"/>
        <v>43059.235784709344</v>
      </c>
      <c r="Q21" s="5">
        <f t="shared" si="9"/>
        <v>68033.592539840756</v>
      </c>
      <c r="R21" s="5">
        <f>SUM(Q21/(1+0.07)^19)</f>
        <v>18811.855261930054</v>
      </c>
      <c r="S21" s="5">
        <f t="shared" si="26"/>
        <v>696.93416508931796</v>
      </c>
      <c r="T21" s="5">
        <f t="shared" si="27"/>
        <v>13.982313850962727</v>
      </c>
      <c r="U21" s="5">
        <f t="shared" si="28"/>
        <v>434.24132495928234</v>
      </c>
      <c r="V21" s="5">
        <f>SUM(P21/6*10180/453/2203*72)</f>
        <v>5270.874097493077</v>
      </c>
      <c r="W21" s="5">
        <f t="shared" si="10"/>
        <v>1145.1578038995631</v>
      </c>
      <c r="X21" s="11">
        <f>SUM(V21/(1+0.03)^19)</f>
        <v>3005.9058468852181</v>
      </c>
      <c r="Y21" s="5">
        <f>SUM(W21/(1+0.07)^19)</f>
        <v>316.64567539062199</v>
      </c>
      <c r="Z21" s="5">
        <f t="shared" si="11"/>
        <v>874.91044846223963</v>
      </c>
      <c r="AA21" s="5">
        <f t="shared" si="12"/>
        <v>554.7745306581154</v>
      </c>
      <c r="AB21" s="5">
        <f t="shared" si="13"/>
        <v>212.5617064240694</v>
      </c>
      <c r="AC21" s="5">
        <f t="shared" si="14"/>
        <v>1642.2466855444243</v>
      </c>
      <c r="AD21" s="5">
        <f>SUM(AC21)/(1+0.07)^19</f>
        <v>454.09489341246507</v>
      </c>
      <c r="AE21" s="5">
        <f t="shared" si="15"/>
        <v>22588.501677618355</v>
      </c>
      <c r="AH21" s="5">
        <f t="shared" si="21"/>
        <v>286392.64325738681</v>
      </c>
      <c r="AI21" s="5">
        <f t="shared" si="18"/>
        <v>190835.51079281626</v>
      </c>
      <c r="AJ21" s="5">
        <v>432375</v>
      </c>
      <c r="AK21" s="5">
        <f t="shared" si="29"/>
        <v>205418.24783808278</v>
      </c>
      <c r="AL21" s="5">
        <f t="shared" si="16"/>
        <v>396253.75863089901</v>
      </c>
      <c r="AM21" s="5">
        <f t="shared" si="1"/>
        <v>2416869.8426284576</v>
      </c>
      <c r="AQ21" s="14">
        <f t="shared" si="19"/>
        <v>4312.8272480675587</v>
      </c>
    </row>
    <row r="22" spans="1:43" x14ac:dyDescent="0.25">
      <c r="A22">
        <f t="shared" si="0"/>
        <v>2040</v>
      </c>
      <c r="B22" s="1">
        <f t="shared" si="31"/>
        <v>132131.22680777908</v>
      </c>
      <c r="C22" s="2">
        <f t="shared" si="2"/>
        <v>6005.964854899049</v>
      </c>
      <c r="D22" s="5">
        <f t="shared" si="3"/>
        <v>3185563.7590384558</v>
      </c>
      <c r="E22" s="5">
        <f t="shared" si="4"/>
        <v>2021250.6587352152</v>
      </c>
      <c r="F22" s="5">
        <f t="shared" si="5"/>
        <v>3575918.8151439526</v>
      </c>
      <c r="G22" s="5">
        <f>SUM(((C22*(3.34*60))/(6))*((10180/453)/(2203))*73)/(1+0.03)^20</f>
        <v>82707.081901602665</v>
      </c>
      <c r="H22" s="5">
        <f t="shared" si="23"/>
        <v>3246.7936703741443</v>
      </c>
      <c r="I22" s="5">
        <f t="shared" si="24"/>
        <v>65.139134200247469</v>
      </c>
      <c r="J22" s="5">
        <f t="shared" si="25"/>
        <v>2022.9916338109074</v>
      </c>
      <c r="K22" s="5">
        <f t="shared" si="22"/>
        <v>8788068.1573560089</v>
      </c>
      <c r="L22" s="5">
        <f>K22/(1+0.07)^20</f>
        <v>2271003.8098842525</v>
      </c>
      <c r="M22" s="5">
        <f t="shared" si="6"/>
        <v>2353710.8917858549</v>
      </c>
      <c r="N22" s="2">
        <f t="shared" si="30"/>
        <v>19675.487199465086</v>
      </c>
      <c r="O22" s="2">
        <f t="shared" si="7"/>
        <v>894.3403272484129</v>
      </c>
      <c r="P22" s="2">
        <f t="shared" si="8"/>
        <v>44717.016362420647</v>
      </c>
      <c r="Q22" s="5">
        <f t="shared" si="9"/>
        <v>70652.885852624619</v>
      </c>
      <c r="R22" s="5">
        <f>SUM(Q22/(1+0.07)^20)</f>
        <v>18258.048307957346</v>
      </c>
      <c r="S22" s="5">
        <f t="shared" si="26"/>
        <v>723.76613044525652</v>
      </c>
      <c r="T22" s="5">
        <f t="shared" si="27"/>
        <v>14.520632934224787</v>
      </c>
      <c r="U22" s="5">
        <f t="shared" si="28"/>
        <v>450.95961597021466</v>
      </c>
      <c r="V22" s="5">
        <f>SUM(P22/6*10180/453/2203*73)</f>
        <v>5549.8277884444287</v>
      </c>
      <c r="W22" s="5">
        <f t="shared" si="10"/>
        <v>1189.2463793496959</v>
      </c>
      <c r="X22" s="11">
        <f>SUM(V22/(1+0.03)^20)</f>
        <v>3072.8050863712483</v>
      </c>
      <c r="Y22" s="5">
        <f>SUM(W22/(1+0.07)^20)</f>
        <v>307.3238634515522</v>
      </c>
      <c r="Z22" s="5">
        <f t="shared" si="11"/>
        <v>908.59450072803588</v>
      </c>
      <c r="AA22" s="5">
        <f t="shared" si="12"/>
        <v>576.13335008845263</v>
      </c>
      <c r="AB22" s="5">
        <f t="shared" si="13"/>
        <v>220.74533212139602</v>
      </c>
      <c r="AC22" s="5">
        <f t="shared" si="14"/>
        <v>1705.4731829378848</v>
      </c>
      <c r="AD22" s="5">
        <f>SUM(AC22)/(1+0.07)^20</f>
        <v>440.72667926060285</v>
      </c>
      <c r="AE22" s="5">
        <f t="shared" si="15"/>
        <v>22078.903937040748</v>
      </c>
      <c r="AH22" s="5">
        <f t="shared" si="21"/>
        <v>297848.34898768232</v>
      </c>
      <c r="AI22" s="5">
        <f t="shared" si="18"/>
        <v>198468.93122452893</v>
      </c>
      <c r="AJ22" s="5">
        <v>518250</v>
      </c>
      <c r="AK22" s="5">
        <f t="shared" si="29"/>
        <v>246216.84172786679</v>
      </c>
      <c r="AL22" s="5">
        <f t="shared" si="16"/>
        <v>444685.77295239572</v>
      </c>
      <c r="AM22" s="5">
        <f t="shared" si="1"/>
        <v>2375789.7957228958</v>
      </c>
      <c r="AQ22" s="14">
        <f t="shared" si="19"/>
        <v>4355.9555205482338</v>
      </c>
    </row>
    <row r="23" spans="1:43" x14ac:dyDescent="0.25">
      <c r="A23">
        <f t="shared" si="0"/>
        <v>2041</v>
      </c>
      <c r="B23" s="1">
        <f t="shared" si="31"/>
        <v>138737.78814816804</v>
      </c>
      <c r="C23" s="2">
        <f t="shared" si="2"/>
        <v>6306.2630976440014</v>
      </c>
      <c r="D23" s="5">
        <f t="shared" si="3"/>
        <v>3344841.9469903782</v>
      </c>
      <c r="E23" s="5">
        <f t="shared" si="4"/>
        <v>2122313.1916719759</v>
      </c>
      <c r="F23" s="5">
        <f t="shared" si="5"/>
        <v>3754714.7559011509</v>
      </c>
      <c r="G23" s="5">
        <f>SUM(((C23*(3.34*60))/(6))*((10180/453)/(2203))*74)/(1+0.03)^21</f>
        <v>85468.017871452685</v>
      </c>
      <c r="H23" s="5">
        <f t="shared" si="23"/>
        <v>3409.1333538928511</v>
      </c>
      <c r="I23" s="5">
        <f t="shared" si="24"/>
        <v>68.396090910259829</v>
      </c>
      <c r="J23" s="5">
        <f t="shared" si="25"/>
        <v>2124.1412155014523</v>
      </c>
      <c r="K23" s="5">
        <f t="shared" si="22"/>
        <v>9227471.5652238093</v>
      </c>
      <c r="L23" s="5">
        <f>K23/(1+0.07)^21</f>
        <v>2228555.1405406212</v>
      </c>
      <c r="M23" s="5">
        <f t="shared" si="6"/>
        <v>2314023.1584120737</v>
      </c>
      <c r="N23" s="2">
        <f t="shared" si="30"/>
        <v>20432.99345664449</v>
      </c>
      <c r="O23" s="2">
        <f t="shared" si="7"/>
        <v>928.77242984747681</v>
      </c>
      <c r="P23" s="2">
        <f t="shared" si="8"/>
        <v>46438.621492373844</v>
      </c>
      <c r="Q23" s="5">
        <f t="shared" si="9"/>
        <v>73373.021957950667</v>
      </c>
      <c r="R23" s="5">
        <f>SUM(Q23/(1+0.07)^21)</f>
        <v>17720.545016648321</v>
      </c>
      <c r="S23" s="5">
        <f t="shared" si="26"/>
        <v>751.63112646739887</v>
      </c>
      <c r="T23" s="5">
        <f t="shared" si="27"/>
        <v>15.079677302192442</v>
      </c>
      <c r="U23" s="5">
        <f t="shared" si="28"/>
        <v>468.32156118506788</v>
      </c>
      <c r="V23" s="5">
        <f>SUM(P23/6*10180/453/2203*74)</f>
        <v>5842.4481604680259</v>
      </c>
      <c r="W23" s="5">
        <f t="shared" si="10"/>
        <v>1235.0323649546592</v>
      </c>
      <c r="X23" s="11">
        <f>SUM(V23/(1+0.03)^21)</f>
        <v>3140.6037781958253</v>
      </c>
      <c r="Y23" s="5">
        <f>SUM(W23/(1+0.07)^21)</f>
        <v>298.27647868638968</v>
      </c>
      <c r="Z23" s="5">
        <f t="shared" si="11"/>
        <v>943.57538900606517</v>
      </c>
      <c r="AA23" s="5">
        <f t="shared" si="12"/>
        <v>598.31448406685809</v>
      </c>
      <c r="AB23" s="5">
        <f t="shared" si="13"/>
        <v>229.2440274080698</v>
      </c>
      <c r="AC23" s="5">
        <f t="shared" si="14"/>
        <v>1771.1339004809931</v>
      </c>
      <c r="AD23" s="5">
        <f>SUM(AC23)/(1+0.07)^21</f>
        <v>427.75201533844483</v>
      </c>
      <c r="AE23" s="5">
        <f t="shared" si="15"/>
        <v>21587.177288868981</v>
      </c>
      <c r="AH23" s="5">
        <f t="shared" si="21"/>
        <v>309762.28294718964</v>
      </c>
      <c r="AI23" s="5">
        <f t="shared" si="18"/>
        <v>206407.68847351012</v>
      </c>
      <c r="AK23" s="5">
        <f t="shared" si="29"/>
        <v>0</v>
      </c>
      <c r="AL23" s="5">
        <f t="shared" si="16"/>
        <v>206407.68847351012</v>
      </c>
      <c r="AM23" s="5">
        <f t="shared" si="1"/>
        <v>2335610.3357009427</v>
      </c>
      <c r="AQ23" s="14">
        <f t="shared" si="19"/>
        <v>4399.5150757537158</v>
      </c>
    </row>
    <row r="24" spans="1:43" x14ac:dyDescent="0.25">
      <c r="A24">
        <f t="shared" si="0"/>
        <v>2042</v>
      </c>
      <c r="B24" s="1">
        <f t="shared" si="31"/>
        <v>145674.67755557643</v>
      </c>
      <c r="C24" s="2">
        <f t="shared" si="2"/>
        <v>6621.5762525262016</v>
      </c>
      <c r="D24" s="5">
        <f t="shared" si="3"/>
        <v>3512084.044339898</v>
      </c>
      <c r="E24" s="5">
        <f t="shared" si="4"/>
        <v>2228428.8512555747</v>
      </c>
      <c r="F24" s="5">
        <f t="shared" si="5"/>
        <v>3942450.4936962076</v>
      </c>
      <c r="G24" s="5">
        <f>SUM(((C24*(3.34*60))/(6))*((10180/453)/(2203))*75)/(1+0.03)^22</f>
        <v>88304.990912843059</v>
      </c>
      <c r="H24" s="5">
        <f t="shared" si="23"/>
        <v>3579.5900215874944</v>
      </c>
      <c r="I24" s="5">
        <f t="shared" si="24"/>
        <v>71.815895455772846</v>
      </c>
      <c r="J24" s="5">
        <f t="shared" si="25"/>
        <v>2230.3482762765252</v>
      </c>
      <c r="K24" s="5">
        <f t="shared" si="22"/>
        <v>9688845.1434849985</v>
      </c>
      <c r="L24" s="5">
        <f>K24/(1+0.07)^22</f>
        <v>2186899.9042688338</v>
      </c>
      <c r="M24" s="5">
        <f t="shared" si="6"/>
        <v>2275204.8951816768</v>
      </c>
      <c r="N24" s="2">
        <f t="shared" si="30"/>
        <v>21219.663704725303</v>
      </c>
      <c r="O24" s="2">
        <f t="shared" si="7"/>
        <v>964.53016839660472</v>
      </c>
      <c r="P24" s="2">
        <f t="shared" si="8"/>
        <v>48226.508419830236</v>
      </c>
      <c r="Q24" s="5">
        <f t="shared" si="9"/>
        <v>76197.883303331764</v>
      </c>
      <c r="R24" s="5">
        <f>SUM(Q24/(1+0.07)^22)</f>
        <v>17198.865420363814</v>
      </c>
      <c r="S24" s="5">
        <f t="shared" si="26"/>
        <v>780.56892483639376</v>
      </c>
      <c r="T24" s="5">
        <f t="shared" si="27"/>
        <v>15.660244878326852</v>
      </c>
      <c r="U24" s="5">
        <f t="shared" si="28"/>
        <v>486.35194129069293</v>
      </c>
      <c r="V24" s="5">
        <f>SUM(P24/6*10180/453/2203*75)</f>
        <v>6149.3740688980188</v>
      </c>
      <c r="W24" s="5">
        <f t="shared" si="10"/>
        <v>1282.5811110054135</v>
      </c>
      <c r="X24" s="11">
        <f>SUM(V24/(1+0.03)^22)</f>
        <v>3209.3122116797076</v>
      </c>
      <c r="Y24" s="5">
        <f>SUM(W24/(1+0.07)^22)</f>
        <v>289.49544216431372</v>
      </c>
      <c r="Z24" s="5">
        <f t="shared" si="11"/>
        <v>979.90304148279859</v>
      </c>
      <c r="AA24" s="5">
        <f t="shared" si="12"/>
        <v>621.34959170343211</v>
      </c>
      <c r="AB24" s="5">
        <f t="shared" si="13"/>
        <v>238.06992246328048</v>
      </c>
      <c r="AC24" s="5">
        <f t="shared" si="14"/>
        <v>1839.3225556495113</v>
      </c>
      <c r="AD24" s="5">
        <f>SUM(AC24)/(1+0.07)^22</f>
        <v>415.15931582147192</v>
      </c>
      <c r="AE24" s="5">
        <f t="shared" si="15"/>
        <v>21112.832390029307</v>
      </c>
      <c r="AH24" s="5">
        <f t="shared" si="21"/>
        <v>322152.77426507726</v>
      </c>
      <c r="AI24" s="5">
        <f t="shared" si="18"/>
        <v>214663.99601245055</v>
      </c>
      <c r="AK24" s="5">
        <f t="shared" si="29"/>
        <v>0</v>
      </c>
      <c r="AL24" s="5">
        <f t="shared" si="16"/>
        <v>214663.99601245055</v>
      </c>
      <c r="AM24" s="5">
        <f t="shared" si="1"/>
        <v>2296317.7275717063</v>
      </c>
      <c r="AQ24" s="14">
        <f t="shared" si="19"/>
        <v>4443.5102265112528</v>
      </c>
    </row>
    <row r="25" spans="1:43" x14ac:dyDescent="0.25">
      <c r="A25">
        <f t="shared" si="0"/>
        <v>2043</v>
      </c>
      <c r="B25" s="1">
        <f t="shared" si="31"/>
        <v>152958.41143335524</v>
      </c>
      <c r="C25" s="2">
        <f t="shared" si="2"/>
        <v>6952.6550651525113</v>
      </c>
      <c r="D25" s="5">
        <f t="shared" si="3"/>
        <v>3687688.2465568925</v>
      </c>
      <c r="E25" s="5">
        <f t="shared" si="4"/>
        <v>2339850.2938183532</v>
      </c>
      <c r="F25" s="5">
        <f t="shared" si="5"/>
        <v>4139573.0183810182</v>
      </c>
      <c r="G25" s="5">
        <f>SUM(((C25*(3.34*60))/(6))*((10180/453)/(2203))*77)/(1+0.03)^23</f>
        <v>92420.174955383336</v>
      </c>
      <c r="H25" s="5">
        <f t="shared" si="23"/>
        <v>3758.5695226668686</v>
      </c>
      <c r="I25" s="5">
        <f t="shared" si="24"/>
        <v>75.406690228561487</v>
      </c>
      <c r="J25" s="5">
        <f t="shared" si="25"/>
        <v>2341.8656900903511</v>
      </c>
      <c r="K25" s="5">
        <f t="shared" si="22"/>
        <v>10173287.40065925</v>
      </c>
      <c r="L25" s="5">
        <f>K25/(1+0.07)^23</f>
        <v>2146023.270544183</v>
      </c>
      <c r="M25" s="5">
        <f t="shared" si="6"/>
        <v>2238443.4454995664</v>
      </c>
      <c r="N25" s="2">
        <f t="shared" si="30"/>
        <v>22036.620757357228</v>
      </c>
      <c r="O25" s="2">
        <f t="shared" si="7"/>
        <v>1001.6645798798741</v>
      </c>
      <c r="P25" s="2">
        <f t="shared" si="8"/>
        <v>50083.228993993704</v>
      </c>
      <c r="Q25" s="5">
        <f t="shared" si="9"/>
        <v>79131.501810510046</v>
      </c>
      <c r="R25" s="5">
        <f>SUM(Q25/(1+0.07)^23)</f>
        <v>16692.543681353105</v>
      </c>
      <c r="S25" s="5">
        <f t="shared" si="26"/>
        <v>810.62082844259498</v>
      </c>
      <c r="T25" s="5">
        <f t="shared" si="27"/>
        <v>16.263164306142436</v>
      </c>
      <c r="U25" s="5">
        <f t="shared" si="28"/>
        <v>505.07649103038472</v>
      </c>
      <c r="V25" s="5">
        <f>SUM(P25/6*10180/453/2203*77)</f>
        <v>6556.42163643194</v>
      </c>
      <c r="W25" s="5">
        <f t="shared" si="10"/>
        <v>1331.9604837791221</v>
      </c>
      <c r="X25" s="11">
        <f>SUM(V25/(1+0.03)^23)</f>
        <v>3322.0847424059793</v>
      </c>
      <c r="Y25" s="5">
        <f>SUM(W25/(1+0.07)^23)</f>
        <v>280.97291279218678</v>
      </c>
      <c r="Z25" s="5">
        <f t="shared" si="11"/>
        <v>1017.6293085798865</v>
      </c>
      <c r="AA25" s="5">
        <f t="shared" si="12"/>
        <v>645.27155098401443</v>
      </c>
      <c r="AB25" s="5">
        <f t="shared" si="13"/>
        <v>247.23561447811679</v>
      </c>
      <c r="AC25" s="5">
        <f t="shared" si="14"/>
        <v>1910.1364740420177</v>
      </c>
      <c r="AD25" s="5">
        <f>SUM(AC25)/(1+0.07)^23</f>
        <v>402.93733596317628</v>
      </c>
      <c r="AE25" s="5">
        <f t="shared" si="15"/>
        <v>20698.538672514445</v>
      </c>
      <c r="AH25" s="5">
        <f t="shared" si="21"/>
        <v>335038.88523568038</v>
      </c>
      <c r="AI25" s="5">
        <f t="shared" si="18"/>
        <v>223250.5558529486</v>
      </c>
      <c r="AK25" s="5">
        <f t="shared" si="29"/>
        <v>0</v>
      </c>
      <c r="AL25" s="5">
        <f t="shared" si="16"/>
        <v>223250.5558529486</v>
      </c>
      <c r="AM25" s="5">
        <f t="shared" si="1"/>
        <v>2259141.9841720806</v>
      </c>
      <c r="AQ25" s="14">
        <f t="shared" si="19"/>
        <v>4487.9453287763654</v>
      </c>
    </row>
    <row r="26" spans="1:43" x14ac:dyDescent="0.25">
      <c r="A26">
        <f t="shared" si="0"/>
        <v>2044</v>
      </c>
      <c r="B26" s="1">
        <f t="shared" si="31"/>
        <v>160606.332005023</v>
      </c>
      <c r="C26" s="2">
        <f t="shared" si="2"/>
        <v>7300.2878184101364</v>
      </c>
      <c r="D26" s="5">
        <f t="shared" si="3"/>
        <v>3872072.6588847367</v>
      </c>
      <c r="E26" s="5">
        <f t="shared" si="4"/>
        <v>2456842.8085092707</v>
      </c>
      <c r="F26" s="5">
        <f t="shared" si="5"/>
        <v>4346551.6693000682</v>
      </c>
      <c r="G26" s="5">
        <f>SUM(((C26*(3.34*60))/(6))*((10180/453)/(2203))*78)/(1+0.03)^24</f>
        <v>95438.309530272265</v>
      </c>
      <c r="H26" s="5">
        <f t="shared" si="23"/>
        <v>3946.4979988002119</v>
      </c>
      <c r="I26" s="5">
        <f t="shared" si="24"/>
        <v>79.177024739989534</v>
      </c>
      <c r="J26" s="5">
        <f t="shared" si="25"/>
        <v>2458.9589745948683</v>
      </c>
      <c r="K26" s="5">
        <f t="shared" si="22"/>
        <v>10681951.770692211</v>
      </c>
      <c r="L26" s="5">
        <f>K26/(1+0.07)^24</f>
        <v>2105910.6860480295</v>
      </c>
      <c r="M26" s="5">
        <f t="shared" si="6"/>
        <v>2201348.9955783016</v>
      </c>
      <c r="N26" s="2">
        <f t="shared" si="30"/>
        <v>22885.030656515482</v>
      </c>
      <c r="O26" s="2">
        <f t="shared" si="7"/>
        <v>1040.2286662052493</v>
      </c>
      <c r="P26" s="2">
        <f t="shared" si="8"/>
        <v>52011.433310262466</v>
      </c>
      <c r="Q26" s="5">
        <f t="shared" si="9"/>
        <v>82178.064630214692</v>
      </c>
      <c r="R26" s="5">
        <f>SUM(Q26/(1+0.07)^24)</f>
        <v>16201.127675780561</v>
      </c>
      <c r="S26" s="5">
        <f t="shared" si="26"/>
        <v>841.82973033763494</v>
      </c>
      <c r="T26" s="5">
        <f t="shared" si="27"/>
        <v>16.889296131928923</v>
      </c>
      <c r="U26" s="5">
        <f t="shared" si="28"/>
        <v>524.52193593505444</v>
      </c>
      <c r="V26" s="5">
        <f>SUM(P26/6*10180/453/2203*78)</f>
        <v>6897.2704131934624</v>
      </c>
      <c r="W26" s="5">
        <f t="shared" si="10"/>
        <v>1383.2409624046184</v>
      </c>
      <c r="X26" s="11">
        <f>SUM(V26/(1+0.03)^24)</f>
        <v>3393.0000049062123</v>
      </c>
      <c r="Y26" s="5">
        <f>SUM(W26/(1+0.07)^24)</f>
        <v>272.70128031279063</v>
      </c>
      <c r="Z26" s="5">
        <f t="shared" si="11"/>
        <v>1056.8080369602123</v>
      </c>
      <c r="AA26" s="5">
        <f t="shared" si="12"/>
        <v>670.11450569689896</v>
      </c>
      <c r="AB26" s="5">
        <f t="shared" si="13"/>
        <v>256.75418563552432</v>
      </c>
      <c r="AC26" s="5">
        <f t="shared" si="14"/>
        <v>1983.6767282926357</v>
      </c>
      <c r="AD26" s="5">
        <f>SUM(AC26)/(1+0.07)^24</f>
        <v>391.07516205398002</v>
      </c>
      <c r="AE26" s="5">
        <f t="shared" si="15"/>
        <v>20257.904123053544</v>
      </c>
      <c r="AH26" s="5">
        <f t="shared" si="21"/>
        <v>348440.44064510759</v>
      </c>
      <c r="AI26" s="5">
        <f t="shared" si="18"/>
        <v>232180.57808706653</v>
      </c>
      <c r="AJ26" s="5">
        <v>2517975</v>
      </c>
      <c r="AK26" s="5">
        <f t="shared" si="29"/>
        <v>1196271.7839840336</v>
      </c>
      <c r="AL26" s="5">
        <f t="shared" si="16"/>
        <v>1428452.3620711002</v>
      </c>
      <c r="AM26" s="5">
        <f t="shared" si="1"/>
        <v>2221606.899701355</v>
      </c>
      <c r="AQ26" s="14">
        <f t="shared" si="19"/>
        <v>4532.8247820641291</v>
      </c>
    </row>
    <row r="27" spans="1:43" x14ac:dyDescent="0.25">
      <c r="A27">
        <f t="shared" si="0"/>
        <v>2045</v>
      </c>
      <c r="B27" s="1">
        <f t="shared" si="31"/>
        <v>168636.64860527415</v>
      </c>
      <c r="C27" s="2">
        <f t="shared" si="2"/>
        <v>7665.3022093306427</v>
      </c>
      <c r="D27" s="5">
        <f t="shared" si="3"/>
        <v>4065676.2918289732</v>
      </c>
      <c r="E27" s="5">
        <f t="shared" si="4"/>
        <v>2579684.9489347343</v>
      </c>
      <c r="F27" s="5">
        <f t="shared" si="5"/>
        <v>4563879.2527650725</v>
      </c>
      <c r="G27" s="5">
        <f>SUM(((C27*(3.34*60))/(6))*((10180/453)/(2203))*79)/(1+0.03)^25</f>
        <v>98538.807263331881</v>
      </c>
      <c r="H27" s="5">
        <f t="shared" si="23"/>
        <v>4143.8228987402217</v>
      </c>
      <c r="I27" s="5">
        <f t="shared" si="24"/>
        <v>83.135875976989013</v>
      </c>
      <c r="J27" s="5">
        <f t="shared" si="25"/>
        <v>2581.9069233246119</v>
      </c>
      <c r="K27" s="5">
        <f t="shared" si="22"/>
        <v>11216049.359226821</v>
      </c>
      <c r="L27" s="5">
        <f>K27/(1+0.07)^25</f>
        <v>2066547.8694863841</v>
      </c>
      <c r="M27" s="5">
        <f t="shared" si="6"/>
        <v>2165086.676749716</v>
      </c>
      <c r="N27" s="2">
        <f t="shared" si="30"/>
        <v>23766.10433679133</v>
      </c>
      <c r="O27" s="2">
        <f t="shared" si="7"/>
        <v>1080.2774698541514</v>
      </c>
      <c r="P27" s="2">
        <f t="shared" si="8"/>
        <v>54013.873492707571</v>
      </c>
      <c r="Q27" s="5">
        <f t="shared" si="9"/>
        <v>85341.920118477952</v>
      </c>
      <c r="R27" s="5">
        <f>SUM(Q27/(1+0.07)^25)</f>
        <v>15724.178589998233</v>
      </c>
      <c r="S27" s="5">
        <f t="shared" si="26"/>
        <v>874.24017495563396</v>
      </c>
      <c r="T27" s="5">
        <f t="shared" si="27"/>
        <v>17.539534033008184</v>
      </c>
      <c r="U27" s="5">
        <f t="shared" si="28"/>
        <v>544.7160304685541</v>
      </c>
      <c r="V27" s="5">
        <f>SUM(P27/6*10180/453/2203*79)</f>
        <v>7254.6462897950205</v>
      </c>
      <c r="W27" s="5">
        <f t="shared" si="10"/>
        <v>1436.4957394571961</v>
      </c>
      <c r="X27" s="11">
        <f>SUM(V27/(1+0.03)^25)</f>
        <v>3464.8594710295379</v>
      </c>
      <c r="Y27" s="5">
        <f>SUM(W27/(1+0.07)^25)</f>
        <v>264.67315850918976</v>
      </c>
      <c r="Z27" s="5">
        <f t="shared" si="11"/>
        <v>1097.4951463831806</v>
      </c>
      <c r="AA27" s="5">
        <f t="shared" si="12"/>
        <v>695.91391416622969</v>
      </c>
      <c r="AB27" s="5">
        <f t="shared" si="13"/>
        <v>266.63922178249197</v>
      </c>
      <c r="AC27" s="5">
        <f t="shared" si="14"/>
        <v>2060.0482823319021</v>
      </c>
      <c r="AD27" s="5">
        <f>SUM(AC27)/(1+0.07)^25</f>
        <v>379.56220167575532</v>
      </c>
      <c r="AE27" s="5">
        <f t="shared" si="15"/>
        <v>19833.273421212718</v>
      </c>
      <c r="AH27" s="5">
        <f t="shared" si="21"/>
        <v>362378.05827091192</v>
      </c>
      <c r="AI27" s="5">
        <f t="shared" si="18"/>
        <v>241467.80121054922</v>
      </c>
      <c r="AK27" s="5">
        <f t="shared" si="29"/>
        <v>0</v>
      </c>
      <c r="AL27" s="5">
        <f t="shared" si="16"/>
        <v>241467.80121054922</v>
      </c>
      <c r="AM27" s="5">
        <f t="shared" si="1"/>
        <v>2184919.9501709286</v>
      </c>
      <c r="AQ27" s="14">
        <f t="shared" si="19"/>
        <v>4578.1530298847701</v>
      </c>
    </row>
    <row r="28" spans="1:43" x14ac:dyDescent="0.25">
      <c r="A28">
        <f t="shared" si="0"/>
        <v>2046</v>
      </c>
      <c r="B28" s="1">
        <f t="shared" si="31"/>
        <v>177068.48103553787</v>
      </c>
      <c r="C28" s="2">
        <f t="shared" si="2"/>
        <v>8048.5673197971755</v>
      </c>
      <c r="D28" s="5">
        <f t="shared" si="3"/>
        <v>4268960.106420422</v>
      </c>
      <c r="E28" s="5">
        <f t="shared" si="4"/>
        <v>2708669.1963814711</v>
      </c>
      <c r="F28" s="5">
        <f t="shared" si="5"/>
        <v>4792073.2154033259</v>
      </c>
      <c r="G28" s="5">
        <f>SUM(((C28*(3.34*60))/(6))*((10180/453)/(2203))*80)/(1+0.03)^26</f>
        <v>101723.72877129015</v>
      </c>
      <c r="H28" s="5">
        <f t="shared" si="23"/>
        <v>4351.0140436772335</v>
      </c>
      <c r="I28" s="5">
        <f t="shared" si="24"/>
        <v>87.292669775838476</v>
      </c>
      <c r="J28" s="5">
        <f t="shared" si="25"/>
        <v>2711.0022694908425</v>
      </c>
      <c r="K28" s="5">
        <f t="shared" si="22"/>
        <v>11776851.827188162</v>
      </c>
      <c r="L28" s="5">
        <f>K28/(1+0.07)^26</f>
        <v>2027920.8065053304</v>
      </c>
      <c r="M28" s="5">
        <f t="shared" si="6"/>
        <v>2129644.5352766206</v>
      </c>
      <c r="N28" s="2">
        <f>SUM(N27*0.03)+N27</f>
        <v>24479.087466895071</v>
      </c>
      <c r="O28" s="2">
        <f t="shared" si="7"/>
        <v>1112.6857939497759</v>
      </c>
      <c r="P28" s="2">
        <f t="shared" si="8"/>
        <v>55634.289697488792</v>
      </c>
      <c r="Q28" s="5">
        <f t="shared" si="9"/>
        <v>87902.177722032298</v>
      </c>
      <c r="R28" s="5">
        <f>SUM(Q28/(1+0.07)^26)</f>
        <v>15136.358829624471</v>
      </c>
      <c r="S28" s="5">
        <f t="shared" si="26"/>
        <v>900.4673802043028</v>
      </c>
      <c r="T28" s="5">
        <f t="shared" si="27"/>
        <v>18.065720053998426</v>
      </c>
      <c r="U28" s="5">
        <f t="shared" si="28"/>
        <v>561.05751138261076</v>
      </c>
      <c r="V28" s="5">
        <f>SUM(P28/6*10180/453/2203*80)</f>
        <v>7566.8715731532848</v>
      </c>
      <c r="W28" s="5">
        <f t="shared" si="10"/>
        <v>1479.5906116409119</v>
      </c>
      <c r="X28" s="11">
        <f>SUM(V28/(1+0.03)^26)</f>
        <v>3508.7184516754796</v>
      </c>
      <c r="Y28" s="5">
        <f>SUM(W28/(1+0.07)^26)</f>
        <v>254.7788348266032</v>
      </c>
      <c r="Z28" s="5">
        <f t="shared" si="11"/>
        <v>1130.4200007746758</v>
      </c>
      <c r="AA28" s="5">
        <f t="shared" si="12"/>
        <v>716.79133159121648</v>
      </c>
      <c r="AB28" s="5">
        <f t="shared" si="13"/>
        <v>274.63839843596668</v>
      </c>
      <c r="AC28" s="5">
        <f t="shared" si="14"/>
        <v>2121.8497308018591</v>
      </c>
      <c r="AD28" s="5">
        <f>SUM(AC28)/(1+0.07)^26</f>
        <v>365.372960491615</v>
      </c>
      <c r="AE28" s="5">
        <f t="shared" si="15"/>
        <v>19265.229076618169</v>
      </c>
      <c r="AH28" s="5">
        <f t="shared" si="21"/>
        <v>376873.18060174841</v>
      </c>
      <c r="AI28" s="5">
        <f t="shared" si="18"/>
        <v>251126.51325897119</v>
      </c>
      <c r="AK28" s="5">
        <f t="shared" si="29"/>
        <v>0</v>
      </c>
      <c r="AL28" s="5">
        <f t="shared" si="16"/>
        <v>251126.51325897119</v>
      </c>
      <c r="AM28" s="5">
        <f t="shared" si="1"/>
        <v>2148909.764353239</v>
      </c>
      <c r="AQ28" s="14">
        <f t="shared" si="19"/>
        <v>4623.9345601836176</v>
      </c>
    </row>
    <row r="29" spans="1:43" x14ac:dyDescent="0.25">
      <c r="A29">
        <f t="shared" si="0"/>
        <v>2047</v>
      </c>
      <c r="B29" s="1">
        <f>+SUM(B28*0.03)+B28</f>
        <v>182380.53546660402</v>
      </c>
      <c r="C29" s="2">
        <f t="shared" si="2"/>
        <v>8290.0243393910914</v>
      </c>
      <c r="D29" s="5">
        <f t="shared" si="3"/>
        <v>4397028.9096130356</v>
      </c>
      <c r="E29" s="5">
        <f t="shared" si="4"/>
        <v>2789929.2722729156</v>
      </c>
      <c r="F29" s="5">
        <f t="shared" si="5"/>
        <v>4935835.4118654272</v>
      </c>
      <c r="G29" s="5">
        <f>SUM(((C29*(3.34*60))/(6))*((10180/453)/(2203))*81)/(1+0.03)^27</f>
        <v>102995.27538093127</v>
      </c>
      <c r="H29" s="5">
        <f t="shared" si="23"/>
        <v>4481.5444649875508</v>
      </c>
      <c r="I29" s="5">
        <f t="shared" si="24"/>
        <v>89.911449869113639</v>
      </c>
      <c r="J29" s="5">
        <f t="shared" si="25"/>
        <v>2792.3323375755681</v>
      </c>
      <c r="K29" s="5">
        <f t="shared" si="22"/>
        <v>12130157.382003808</v>
      </c>
      <c r="L29" s="5">
        <f>K29/(1+0.07)^27</f>
        <v>1952110.6828976541</v>
      </c>
      <c r="M29" s="5">
        <f t="shared" si="6"/>
        <v>2055105.9582785855</v>
      </c>
      <c r="N29" s="2">
        <f t="shared" ref="N29:N36" si="32">SUM(N28*0.03)+N28</f>
        <v>25213.460090901925</v>
      </c>
      <c r="O29" s="2">
        <f t="shared" si="7"/>
        <v>1146.0663677682694</v>
      </c>
      <c r="P29" s="2">
        <f t="shared" si="8"/>
        <v>57303.318388413471</v>
      </c>
      <c r="Q29" s="5">
        <f t="shared" si="9"/>
        <v>90539.243053693281</v>
      </c>
      <c r="R29" s="5">
        <f>SUM(Q29/(1+0.07)^27)</f>
        <v>14570.513639731966</v>
      </c>
      <c r="S29" s="5">
        <f t="shared" si="26"/>
        <v>927.48140161043216</v>
      </c>
      <c r="T29" s="5">
        <f t="shared" si="27"/>
        <v>18.607691655618385</v>
      </c>
      <c r="U29" s="5">
        <f t="shared" si="28"/>
        <v>577.88923672408907</v>
      </c>
      <c r="V29" s="5">
        <f>SUM(P29/6*10180/453/2203*81)</f>
        <v>7891.3011918522343</v>
      </c>
      <c r="W29" s="5">
        <f t="shared" si="10"/>
        <v>1523.9783299901396</v>
      </c>
      <c r="X29" s="11">
        <f>SUM(V29/(1+0.03)^27)</f>
        <v>3552.577432321425</v>
      </c>
      <c r="Y29" s="5">
        <f>SUM(W29/(1+0.07)^27)</f>
        <v>245.2543924031788</v>
      </c>
      <c r="Z29" s="5">
        <f t="shared" si="11"/>
        <v>1164.3326007979163</v>
      </c>
      <c r="AA29" s="5">
        <f t="shared" si="12"/>
        <v>738.29507153895304</v>
      </c>
      <c r="AB29" s="5">
        <f t="shared" si="13"/>
        <v>282.87755038904578</v>
      </c>
      <c r="AC29" s="5">
        <f t="shared" si="14"/>
        <v>2185.5052227259148</v>
      </c>
      <c r="AD29" s="5">
        <f>SUM(AC29)/(1+0.07)^27</f>
        <v>351.71415823024608</v>
      </c>
      <c r="AE29" s="5">
        <f t="shared" si="15"/>
        <v>18720.059622686815</v>
      </c>
      <c r="AH29" s="5">
        <f t="shared" si="21"/>
        <v>391948.10782581836</v>
      </c>
      <c r="AI29" s="5">
        <f t="shared" si="18"/>
        <v>261171.57378933005</v>
      </c>
      <c r="AK29" s="5">
        <f t="shared" si="29"/>
        <v>0</v>
      </c>
      <c r="AL29" s="5">
        <f t="shared" si="16"/>
        <v>261171.57378933005</v>
      </c>
      <c r="AM29" s="5">
        <f t="shared" si="1"/>
        <v>2073826.0179012723</v>
      </c>
      <c r="AQ29" s="14">
        <f t="shared" si="19"/>
        <v>4670.1739057854538</v>
      </c>
    </row>
    <row r="30" spans="1:43" x14ac:dyDescent="0.25">
      <c r="A30">
        <f t="shared" si="0"/>
        <v>2048</v>
      </c>
      <c r="B30" s="1">
        <f t="shared" ref="B30:B36" si="33">+SUM(B29*0.03)+B29</f>
        <v>187851.95153060215</v>
      </c>
      <c r="C30" s="2">
        <f t="shared" si="2"/>
        <v>8538.7250695728253</v>
      </c>
      <c r="D30" s="5">
        <f t="shared" si="3"/>
        <v>4528939.7769014267</v>
      </c>
      <c r="E30" s="5">
        <f t="shared" si="4"/>
        <v>2873627.1504411031</v>
      </c>
      <c r="F30" s="5">
        <f t="shared" si="5"/>
        <v>5083910.4742213897</v>
      </c>
      <c r="G30" s="5">
        <f>SUM(((C30*(3.34*60))/(6))*((10180/453)/(2203))*82)/(1+0.03)^28</f>
        <v>104266.82199057243</v>
      </c>
      <c r="H30" s="5">
        <f t="shared" si="23"/>
        <v>4615.9907989371786</v>
      </c>
      <c r="I30" s="5">
        <f t="shared" si="24"/>
        <v>92.60879336518704</v>
      </c>
      <c r="J30" s="5">
        <f t="shared" si="25"/>
        <v>2876.1023077028353</v>
      </c>
      <c r="K30" s="5">
        <f t="shared" si="22"/>
        <v>12494062.103463925</v>
      </c>
      <c r="L30" s="5">
        <f>K30/(1+0.07)^28</f>
        <v>1879134.5826024155</v>
      </c>
      <c r="M30" s="5">
        <f t="shared" si="6"/>
        <v>1983401.4045929878</v>
      </c>
      <c r="N30" s="2">
        <f t="shared" si="32"/>
        <v>25969.863893628983</v>
      </c>
      <c r="O30" s="2">
        <f t="shared" si="7"/>
        <v>1180.4483588013172</v>
      </c>
      <c r="P30" s="2">
        <f t="shared" si="8"/>
        <v>59022.417940065861</v>
      </c>
      <c r="Q30" s="5">
        <f t="shared" si="9"/>
        <v>93255.420345304068</v>
      </c>
      <c r="R30" s="5">
        <f>SUM(Q30/(1+0.07)^28)</f>
        <v>14025.821541050398</v>
      </c>
      <c r="S30" s="5">
        <f t="shared" si="26"/>
        <v>955.30584365874472</v>
      </c>
      <c r="T30" s="5">
        <f t="shared" si="27"/>
        <v>19.165922405286931</v>
      </c>
      <c r="U30" s="5">
        <f t="shared" si="28"/>
        <v>595.22591382581174</v>
      </c>
      <c r="V30" s="5">
        <f>SUM(P30/6*10180/453/2203*82)</f>
        <v>8228.3864032572783</v>
      </c>
      <c r="W30" s="5">
        <f t="shared" si="10"/>
        <v>1569.6976798898434</v>
      </c>
      <c r="X30" s="11">
        <f>SUM(V30/(1+0.03)^28)</f>
        <v>3596.4364129673677</v>
      </c>
      <c r="Y30" s="5">
        <f>SUM(W30/(1+0.07)^28)</f>
        <v>236.08600390212536</v>
      </c>
      <c r="Z30" s="5">
        <f t="shared" si="11"/>
        <v>1199.2625788218536</v>
      </c>
      <c r="AA30" s="5">
        <f t="shared" si="12"/>
        <v>760.44392368512149</v>
      </c>
      <c r="AB30" s="5">
        <f t="shared" si="13"/>
        <v>291.36387690071712</v>
      </c>
      <c r="AC30" s="5">
        <f t="shared" si="14"/>
        <v>2251.0703794076921</v>
      </c>
      <c r="AD30" s="5">
        <f>SUM(AC30)/(1+0.07)^28</f>
        <v>338.56596539920895</v>
      </c>
      <c r="AE30" s="5">
        <f t="shared" si="15"/>
        <v>18196.909923319097</v>
      </c>
      <c r="AH30" s="5">
        <f t="shared" si="21"/>
        <v>407626.03213885112</v>
      </c>
      <c r="AI30" s="5">
        <f t="shared" si="18"/>
        <v>271618.43674090324</v>
      </c>
      <c r="AK30" s="5">
        <f t="shared" si="29"/>
        <v>0</v>
      </c>
      <c r="AL30" s="5">
        <f t="shared" si="16"/>
        <v>271618.43674090324</v>
      </c>
      <c r="AM30" s="5">
        <f t="shared" si="1"/>
        <v>2001598.3145163069</v>
      </c>
      <c r="AQ30" s="14">
        <f t="shared" si="19"/>
        <v>4716.8756448433087</v>
      </c>
    </row>
    <row r="31" spans="1:43" x14ac:dyDescent="0.25">
      <c r="A31">
        <f t="shared" si="0"/>
        <v>2049</v>
      </c>
      <c r="B31" s="1">
        <f t="shared" si="33"/>
        <v>193487.51007652021</v>
      </c>
      <c r="C31" s="2">
        <f t="shared" si="2"/>
        <v>8794.8868216600094</v>
      </c>
      <c r="D31" s="5">
        <f t="shared" si="3"/>
        <v>4664807.9702084688</v>
      </c>
      <c r="E31" s="5">
        <f t="shared" si="4"/>
        <v>2959835.9649543362</v>
      </c>
      <c r="F31" s="5">
        <f t="shared" si="5"/>
        <v>5236427.7884480311</v>
      </c>
      <c r="G31" s="5">
        <f>SUM(((C31*(3.34*60))/(6))*((10180/453)/(2203))*83)/(1+0.03)^29</f>
        <v>105538.36860021357</v>
      </c>
      <c r="H31" s="5">
        <f t="shared" si="23"/>
        <v>4754.4705229052934</v>
      </c>
      <c r="I31" s="5">
        <f t="shared" si="24"/>
        <v>95.387057166142668</v>
      </c>
      <c r="J31" s="5">
        <f t="shared" si="25"/>
        <v>2962.3853769339207</v>
      </c>
      <c r="K31" s="5">
        <f t="shared" si="22"/>
        <v>12868883.966567842</v>
      </c>
      <c r="L31" s="5">
        <f>K31/(1+0.07)^29</f>
        <v>1808886.5608228859</v>
      </c>
      <c r="M31" s="5">
        <f t="shared" si="6"/>
        <v>1914424.9294230996</v>
      </c>
      <c r="N31" s="2">
        <f t="shared" si="32"/>
        <v>26748.959810437853</v>
      </c>
      <c r="O31" s="2">
        <f t="shared" si="7"/>
        <v>1215.8618095653569</v>
      </c>
      <c r="P31" s="2">
        <f t="shared" si="8"/>
        <v>60793.090478267848</v>
      </c>
      <c r="Q31" s="5">
        <f t="shared" si="9"/>
        <v>96053.082955663194</v>
      </c>
      <c r="R31" s="5">
        <f>SUM(Q31/(1+0.07)^29)</f>
        <v>13501.491763814869</v>
      </c>
      <c r="S31" s="5">
        <f t="shared" si="26"/>
        <v>983.96501896850737</v>
      </c>
      <c r="T31" s="5">
        <f t="shared" si="27"/>
        <v>19.740900077445545</v>
      </c>
      <c r="U31" s="5">
        <f t="shared" si="28"/>
        <v>613.08269124058609</v>
      </c>
      <c r="V31" s="5">
        <f>SUM(P31/6*10180/453/2203*83)</f>
        <v>8578.5945562739616</v>
      </c>
      <c r="W31" s="5">
        <f t="shared" si="10"/>
        <v>1616.7886102865391</v>
      </c>
      <c r="X31" s="11">
        <f>SUM(V31/(1+0.03)^29)</f>
        <v>3640.2953936133122</v>
      </c>
      <c r="Y31" s="5">
        <f>SUM(W31/(1+0.07)^29)</f>
        <v>227.2603588964385</v>
      </c>
      <c r="Z31" s="5">
        <f t="shared" si="11"/>
        <v>1235.2404561865094</v>
      </c>
      <c r="AA31" s="5">
        <f t="shared" si="12"/>
        <v>783.25724139567524</v>
      </c>
      <c r="AB31" s="5">
        <f t="shared" si="13"/>
        <v>300.10479320773868</v>
      </c>
      <c r="AC31" s="5">
        <f t="shared" si="14"/>
        <v>2318.6024907899232</v>
      </c>
      <c r="AD31" s="5">
        <f>SUM(AC31)/(1+0.07)^29</f>
        <v>325.90929379550022</v>
      </c>
      <c r="AE31" s="5">
        <f t="shared" si="15"/>
        <v>17694.956810120118</v>
      </c>
      <c r="AH31" s="5">
        <f t="shared" si="21"/>
        <v>423931.07342440519</v>
      </c>
      <c r="AI31" s="5">
        <f t="shared" si="18"/>
        <v>282483.17421053944</v>
      </c>
      <c r="AK31" s="5">
        <f t="shared" si="29"/>
        <v>0</v>
      </c>
      <c r="AL31" s="5">
        <f t="shared" si="16"/>
        <v>282483.17421053944</v>
      </c>
      <c r="AM31" s="5">
        <f t="shared" si="1"/>
        <v>1932119.8862332196</v>
      </c>
      <c r="AQ31" s="14">
        <f t="shared" si="19"/>
        <v>4764.0444012917415</v>
      </c>
    </row>
    <row r="32" spans="1:43" x14ac:dyDescent="0.25">
      <c r="A32">
        <f t="shared" si="0"/>
        <v>2050</v>
      </c>
      <c r="B32" s="1">
        <f t="shared" si="33"/>
        <v>199292.13537881582</v>
      </c>
      <c r="C32" s="2">
        <f t="shared" si="2"/>
        <v>9058.733426309811</v>
      </c>
      <c r="D32" s="5">
        <f t="shared" si="3"/>
        <v>4804752.2093147235</v>
      </c>
      <c r="E32" s="5">
        <f t="shared" si="4"/>
        <v>3048631.0439029667</v>
      </c>
      <c r="F32" s="5">
        <f t="shared" si="5"/>
        <v>5393520.6221014727</v>
      </c>
      <c r="G32" s="5">
        <f>SUM(((C32*(3.34*60))/(6))*((10180/453)/(2203))*85)/(1+0.03)^30</f>
        <v>108081.46181949582</v>
      </c>
      <c r="H32" s="5">
        <f t="shared" si="23"/>
        <v>4897.1046385924528</v>
      </c>
      <c r="I32" s="5">
        <f t="shared" si="24"/>
        <v>98.248668881126974</v>
      </c>
      <c r="J32" s="5">
        <f t="shared" si="25"/>
        <v>3051.2569382419388</v>
      </c>
      <c r="K32" s="5">
        <f t="shared" si="22"/>
        <v>13254950.485564878</v>
      </c>
      <c r="L32" s="5">
        <f>K32/(1+0.07)^30</f>
        <v>1741264.6333154885</v>
      </c>
      <c r="M32" s="5">
        <f t="shared" si="6"/>
        <v>1849346.0951349842</v>
      </c>
      <c r="N32" s="2">
        <f t="shared" si="32"/>
        <v>27551.428604750989</v>
      </c>
      <c r="O32" s="2">
        <f t="shared" si="7"/>
        <v>1252.3376638523175</v>
      </c>
      <c r="P32" s="2">
        <f t="shared" si="8"/>
        <v>62616.883192615875</v>
      </c>
      <c r="Q32" s="5">
        <f t="shared" si="9"/>
        <v>98934.675444333086</v>
      </c>
      <c r="R32" s="5">
        <f>SUM(Q32/(1+0.07)^30)</f>
        <v>12996.763099747024</v>
      </c>
      <c r="S32" s="5">
        <f t="shared" si="26"/>
        <v>1013.4839695375625</v>
      </c>
      <c r="T32" s="5">
        <f t="shared" si="27"/>
        <v>20.333127079768911</v>
      </c>
      <c r="U32" s="5">
        <f t="shared" si="28"/>
        <v>631.47517197780348</v>
      </c>
      <c r="V32" s="5">
        <f>SUM(P32/6*10180/453/2203*85)</f>
        <v>9048.8669084552439</v>
      </c>
      <c r="W32" s="5">
        <f t="shared" si="10"/>
        <v>1665.2922685951348</v>
      </c>
      <c r="X32" s="11">
        <f>SUM(V32/(1+0.03)^30)</f>
        <v>3728.0133549051984</v>
      </c>
      <c r="Y32" s="5">
        <f>SUM(W32/(1+0.07)^30)</f>
        <v>218.76464454516972</v>
      </c>
      <c r="Z32" s="5">
        <f t="shared" si="11"/>
        <v>1272.2976698721045</v>
      </c>
      <c r="AA32" s="5">
        <f t="shared" si="12"/>
        <v>806.75495863754543</v>
      </c>
      <c r="AB32" s="5">
        <f t="shared" si="13"/>
        <v>309.10793700397079</v>
      </c>
      <c r="AC32" s="5">
        <f t="shared" si="14"/>
        <v>2388.1605655136204</v>
      </c>
      <c r="AD32" s="5">
        <f>SUM(AC32)/(1+0.07)^30</f>
        <v>313.7257687937992</v>
      </c>
      <c r="AE32" s="5">
        <f t="shared" si="15"/>
        <v>17257.266867991191</v>
      </c>
      <c r="AH32" s="5">
        <f t="shared" si="21"/>
        <v>440888.31636138138</v>
      </c>
      <c r="AI32" s="5">
        <f t="shared" si="18"/>
        <v>293782.50117896096</v>
      </c>
      <c r="AK32" s="5">
        <f t="shared" si="29"/>
        <v>0</v>
      </c>
      <c r="AL32" s="5">
        <f t="shared" si="16"/>
        <v>293782.50117896096</v>
      </c>
      <c r="AM32" s="5">
        <f t="shared" si="1"/>
        <v>1866603.3620029755</v>
      </c>
      <c r="AQ32" s="14">
        <f t="shared" si="19"/>
        <v>4811.6848453046587</v>
      </c>
    </row>
    <row r="33" spans="1:43" x14ac:dyDescent="0.25">
      <c r="A33">
        <f t="shared" si="0"/>
        <v>2051</v>
      </c>
      <c r="B33" s="1">
        <f t="shared" si="33"/>
        <v>205270.89944018028</v>
      </c>
      <c r="C33" s="2">
        <f t="shared" si="2"/>
        <v>9330.4954290991027</v>
      </c>
      <c r="D33" s="5">
        <f t="shared" si="3"/>
        <v>4948894.7755941637</v>
      </c>
      <c r="E33" s="5">
        <f t="shared" si="4"/>
        <v>3140089.9752200544</v>
      </c>
      <c r="F33" s="5">
        <f t="shared" si="5"/>
        <v>5555326.2407645155</v>
      </c>
      <c r="G33" s="5">
        <f>SUM(((C33*(3.34*60))/(6))*((10180/453)/(2203))*86)/(1+0.03)^31</f>
        <v>109353.00842913688</v>
      </c>
      <c r="H33" s="5">
        <f t="shared" si="23"/>
        <v>5044.017777750224</v>
      </c>
      <c r="I33" s="5">
        <f t="shared" si="24"/>
        <v>101.19612894756072</v>
      </c>
      <c r="J33" s="5">
        <f t="shared" si="25"/>
        <v>3142.7946463891953</v>
      </c>
      <c r="K33" s="5">
        <f t="shared" si="22"/>
        <v>13652599.000131821</v>
      </c>
      <c r="L33" s="5">
        <f>K33/(1+0.07)^31</f>
        <v>1676170.6283317311</v>
      </c>
      <c r="M33" s="5">
        <f t="shared" si="6"/>
        <v>1785523.6367608679</v>
      </c>
      <c r="N33" s="2">
        <f t="shared" si="32"/>
        <v>28377.971462893518</v>
      </c>
      <c r="O33" s="2">
        <f t="shared" si="7"/>
        <v>1289.9077937678871</v>
      </c>
      <c r="P33" s="2">
        <f t="shared" si="8"/>
        <v>64495.38968839436</v>
      </c>
      <c r="Q33" s="5">
        <f t="shared" si="9"/>
        <v>101902.71570766308</v>
      </c>
      <c r="R33" s="5">
        <f>SUM(Q33/(1+0.07)^31)</f>
        <v>12510.902796952741</v>
      </c>
      <c r="S33" s="5">
        <f t="shared" si="26"/>
        <v>1043.8884886236895</v>
      </c>
      <c r="T33" s="5">
        <f t="shared" si="27"/>
        <v>20.943120892161982</v>
      </c>
      <c r="U33" s="5">
        <f t="shared" si="28"/>
        <v>650.41942713713786</v>
      </c>
      <c r="V33" s="5">
        <f>SUM(P33/6*10180/453/2203*86)</f>
        <v>9429.9838911878287</v>
      </c>
      <c r="W33" s="5">
        <f t="shared" si="10"/>
        <v>1715.2510366529891</v>
      </c>
      <c r="X33" s="11">
        <f>SUM(V33/(1+0.03)^31)</f>
        <v>3771.8723355511411</v>
      </c>
      <c r="Y33" s="5">
        <f>SUM(W33/(1+0.07)^31)</f>
        <v>210.58652699207926</v>
      </c>
      <c r="Z33" s="5">
        <f t="shared" si="11"/>
        <v>1310.4665999682677</v>
      </c>
      <c r="AA33" s="5">
        <f t="shared" si="12"/>
        <v>830.95760739667185</v>
      </c>
      <c r="AB33" s="5">
        <f t="shared" si="13"/>
        <v>318.38117511408996</v>
      </c>
      <c r="AC33" s="5">
        <f t="shared" si="14"/>
        <v>2459.8053824790295</v>
      </c>
      <c r="AD33" s="5">
        <f>SUM(AC33)/(1+0.07)^31</f>
        <v>301.99770267066651</v>
      </c>
      <c r="AE33" s="5">
        <f t="shared" si="15"/>
        <v>16795.359362166626</v>
      </c>
      <c r="AH33" s="5">
        <f t="shared" si="21"/>
        <v>458523.84901583666</v>
      </c>
      <c r="AI33" s="5">
        <f t="shared" si="18"/>
        <v>305533.80122611945</v>
      </c>
      <c r="AK33" s="5">
        <f t="shared" si="29"/>
        <v>0</v>
      </c>
      <c r="AL33" s="5">
        <f t="shared" si="16"/>
        <v>305533.80122611945</v>
      </c>
      <c r="AM33" s="5">
        <f t="shared" si="1"/>
        <v>1802318.9961230345</v>
      </c>
      <c r="AQ33" s="14">
        <f t="shared" si="19"/>
        <v>4859.8016937577049</v>
      </c>
    </row>
    <row r="34" spans="1:43" x14ac:dyDescent="0.25">
      <c r="A34">
        <f t="shared" si="0"/>
        <v>2052</v>
      </c>
      <c r="B34" s="1">
        <f t="shared" si="33"/>
        <v>211429.02642338569</v>
      </c>
      <c r="C34" s="2">
        <f t="shared" si="2"/>
        <v>9610.4102919720772</v>
      </c>
      <c r="D34" s="5">
        <f t="shared" si="3"/>
        <v>5097361.61886199</v>
      </c>
      <c r="E34" s="5">
        <f t="shared" si="4"/>
        <v>3234292.6744766571</v>
      </c>
      <c r="F34" s="5">
        <f t="shared" si="5"/>
        <v>5721986.0279874504</v>
      </c>
      <c r="G34" s="5">
        <f>SUM(((C34*(3.34*60))/(6))*((10180/453)/(2203))*87)/(1+0.03)^32</f>
        <v>110624.55503877808</v>
      </c>
      <c r="H34" s="5">
        <f t="shared" si="23"/>
        <v>5195.3383110827317</v>
      </c>
      <c r="I34" s="5">
        <f t="shared" si="24"/>
        <v>104.23201281598757</v>
      </c>
      <c r="J34" s="5">
        <f t="shared" si="25"/>
        <v>3237.0784857808721</v>
      </c>
      <c r="K34" s="5">
        <f t="shared" si="22"/>
        <v>14062176.970135778</v>
      </c>
      <c r="L34" s="5">
        <f>K34/(1+0.07)^32</f>
        <v>1613510.0440950315</v>
      </c>
      <c r="M34" s="5">
        <f t="shared" si="6"/>
        <v>1724134.5991338096</v>
      </c>
      <c r="N34" s="2">
        <f t="shared" si="32"/>
        <v>29229.310606780324</v>
      </c>
      <c r="O34" s="2">
        <f t="shared" si="7"/>
        <v>1328.6050275809239</v>
      </c>
      <c r="P34" s="2">
        <f t="shared" si="8"/>
        <v>66430.251379046196</v>
      </c>
      <c r="Q34" s="5">
        <f t="shared" si="9"/>
        <v>104959.79717889299</v>
      </c>
      <c r="R34" s="5">
        <f>SUM(Q34/(1+0.07)^32)</f>
        <v>12043.205496132081</v>
      </c>
      <c r="S34" s="5">
        <f t="shared" si="26"/>
        <v>1075.2051432824005</v>
      </c>
      <c r="T34" s="5">
        <f t="shared" si="27"/>
        <v>21.57141451892684</v>
      </c>
      <c r="U34" s="5">
        <f t="shared" si="28"/>
        <v>669.9320099512521</v>
      </c>
      <c r="V34" s="5">
        <f>SUM(P34/6*10180/453/2203*87)</f>
        <v>9825.8239126667631</v>
      </c>
      <c r="W34" s="5">
        <f t="shared" si="10"/>
        <v>1766.7085677525793</v>
      </c>
      <c r="X34" s="11">
        <f>SUM(V34/(1+0.03)^32)</f>
        <v>3815.7313161970869</v>
      </c>
      <c r="Y34" s="5">
        <f>SUM(W34/(1+0.07)^32)</f>
        <v>202.71413345966513</v>
      </c>
      <c r="Z34" s="5">
        <f t="shared" si="11"/>
        <v>1349.780597967316</v>
      </c>
      <c r="AA34" s="5">
        <f t="shared" si="12"/>
        <v>855.88633561857216</v>
      </c>
      <c r="AB34" s="5">
        <f t="shared" si="13"/>
        <v>327.93261036751272</v>
      </c>
      <c r="AC34" s="5">
        <f t="shared" si="14"/>
        <v>2533.5995439534008</v>
      </c>
      <c r="AD34" s="5">
        <f>SUM(AC34)/(1+0.07)^32</f>
        <v>290.7080689259688</v>
      </c>
      <c r="AE34" s="5">
        <f t="shared" si="15"/>
        <v>16352.359014714802</v>
      </c>
      <c r="AH34" s="5">
        <f t="shared" si="21"/>
        <v>476864.80297647015</v>
      </c>
      <c r="AI34" s="5">
        <f t="shared" si="18"/>
        <v>317755.15327516425</v>
      </c>
      <c r="AK34" s="5">
        <f t="shared" si="29"/>
        <v>0</v>
      </c>
      <c r="AL34" s="5">
        <f t="shared" si="16"/>
        <v>317755.15327516425</v>
      </c>
      <c r="AM34" s="5">
        <f t="shared" si="1"/>
        <v>1740486.9581485244</v>
      </c>
      <c r="AQ34" s="14">
        <f t="shared" si="19"/>
        <v>4908.399710695282</v>
      </c>
    </row>
    <row r="35" spans="1:43" x14ac:dyDescent="0.25">
      <c r="A35">
        <f t="shared" si="0"/>
        <v>2053</v>
      </c>
      <c r="B35" s="1">
        <f t="shared" si="33"/>
        <v>217771.89721608727</v>
      </c>
      <c r="C35" s="2">
        <f t="shared" si="2"/>
        <v>9898.7226007312383</v>
      </c>
      <c r="D35" s="5">
        <f t="shared" si="3"/>
        <v>5250282.4674278488</v>
      </c>
      <c r="E35" s="5">
        <f t="shared" si="4"/>
        <v>3331321.4547109567</v>
      </c>
      <c r="F35" s="5">
        <f t="shared" si="5"/>
        <v>5893645.608827075</v>
      </c>
      <c r="G35" s="5">
        <f>SUM(((C35*(3.34*60))/(6))*((10180/453)/(2203))*88)/(1+0.03)^33</f>
        <v>111896.10164841918</v>
      </c>
      <c r="H35" s="5">
        <f t="shared" si="23"/>
        <v>5351.198460415214</v>
      </c>
      <c r="I35" s="5">
        <f t="shared" si="24"/>
        <v>107.35897320046716</v>
      </c>
      <c r="J35" s="5">
        <f t="shared" si="25"/>
        <v>3334.1908403542975</v>
      </c>
      <c r="K35" s="5">
        <f t="shared" si="22"/>
        <v>14484042.279239852</v>
      </c>
      <c r="L35" s="5">
        <f>K35/(1+0.07)^33</f>
        <v>1553191.9116054974</v>
      </c>
      <c r="M35" s="5">
        <f t="shared" si="6"/>
        <v>1665088.0132539165</v>
      </c>
      <c r="N35" s="2">
        <f t="shared" si="32"/>
        <v>30106.189924983733</v>
      </c>
      <c r="O35" s="2">
        <f t="shared" si="7"/>
        <v>1368.4631784083515</v>
      </c>
      <c r="P35" s="2">
        <f t="shared" si="8"/>
        <v>68423.158920417569</v>
      </c>
      <c r="Q35" s="5">
        <f t="shared" si="9"/>
        <v>108108.59109425975</v>
      </c>
      <c r="R35" s="5">
        <f>SUM(Q35/(1+0.07)^33)</f>
        <v>11592.992206557046</v>
      </c>
      <c r="S35" s="5">
        <f t="shared" si="26"/>
        <v>1107.461297580872</v>
      </c>
      <c r="T35" s="5">
        <f t="shared" si="27"/>
        <v>22.218556954494641</v>
      </c>
      <c r="U35" s="5">
        <f t="shared" si="28"/>
        <v>690.02997024978936</v>
      </c>
      <c r="V35" s="5">
        <f>SUM(P35/6*10180/453/2203*88)</f>
        <v>10236.927349932357</v>
      </c>
      <c r="W35" s="5">
        <f t="shared" si="10"/>
        <v>1819.7098247851561</v>
      </c>
      <c r="X35" s="11">
        <f>SUM(V35/(1+0.03)^33)</f>
        <v>3859.5902968430287</v>
      </c>
      <c r="Y35" s="5">
        <f>SUM(W35/(1+0.07)^33)</f>
        <v>195.13603501257481</v>
      </c>
      <c r="Z35" s="5">
        <f t="shared" si="11"/>
        <v>1390.2740159063351</v>
      </c>
      <c r="AA35" s="5">
        <f t="shared" si="12"/>
        <v>881.56292568712922</v>
      </c>
      <c r="AB35" s="5">
        <f t="shared" si="13"/>
        <v>337.77058867853799</v>
      </c>
      <c r="AC35" s="5">
        <f t="shared" si="14"/>
        <v>2609.6075302720024</v>
      </c>
      <c r="AD35" s="5">
        <f>SUM(AC35)/(1+0.07)^33</f>
        <v>279.84047756425031</v>
      </c>
      <c r="AE35" s="5">
        <f t="shared" si="15"/>
        <v>15927.5590159769</v>
      </c>
      <c r="AH35" s="5">
        <f t="shared" si="21"/>
        <v>495939.39509552898</v>
      </c>
      <c r="AI35" s="5">
        <f t="shared" si="18"/>
        <v>330465.35940617078</v>
      </c>
      <c r="AK35" s="5">
        <f t="shared" si="29"/>
        <v>0</v>
      </c>
      <c r="AL35" s="5">
        <f t="shared" si="16"/>
        <v>330465.35940617078</v>
      </c>
      <c r="AM35" s="5">
        <f t="shared" si="1"/>
        <v>1681015.5722698935</v>
      </c>
      <c r="AQ35" s="14">
        <f t="shared" si="19"/>
        <v>4957.4837078022347</v>
      </c>
    </row>
    <row r="36" spans="1:43" x14ac:dyDescent="0.25">
      <c r="A36">
        <f t="shared" si="0"/>
        <v>2054</v>
      </c>
      <c r="B36" s="1">
        <f t="shared" si="33"/>
        <v>224305.05413256987</v>
      </c>
      <c r="C36" s="2">
        <f t="shared" si="2"/>
        <v>10195.684278753177</v>
      </c>
      <c r="D36" s="5">
        <f t="shared" si="3"/>
        <v>5407790.9414506853</v>
      </c>
      <c r="E36" s="5">
        <f t="shared" si="4"/>
        <v>3431261.0983522846</v>
      </c>
      <c r="F36" s="5">
        <f t="shared" si="5"/>
        <v>6070454.9770918861</v>
      </c>
      <c r="G36" s="5">
        <f>SUM(((C36*(3.34*60))/(6))*((10180/453)/(2203))*89)/(1+0.03)^34</f>
        <v>113167.64825806033</v>
      </c>
      <c r="H36" s="5">
        <f t="shared" ref="H36" si="34">C36*(33.4+60)*0.8924/453/2203*16400</f>
        <v>13965.418841329571</v>
      </c>
      <c r="I36" s="5">
        <f t="shared" si="24"/>
        <v>110.57974239648124</v>
      </c>
      <c r="J36" s="5">
        <f t="shared" si="25"/>
        <v>3434.2165655649278</v>
      </c>
      <c r="K36" s="5">
        <f t="shared" si="22"/>
        <v>14927017.232044147</v>
      </c>
      <c r="L36" s="5">
        <f>K36/(1+0.07)^34</f>
        <v>1495975.8852870816</v>
      </c>
      <c r="M36" s="5">
        <f t="shared" si="6"/>
        <v>1609143.533545142</v>
      </c>
      <c r="N36" s="2">
        <f t="shared" si="32"/>
        <v>31009.375622733245</v>
      </c>
      <c r="O36" s="2">
        <f t="shared" si="7"/>
        <v>1409.5170737606022</v>
      </c>
      <c r="P36" s="2">
        <f t="shared" si="8"/>
        <v>70475.853688030111</v>
      </c>
      <c r="Q36" s="5">
        <f t="shared" si="9"/>
        <v>111351.84882708757</v>
      </c>
      <c r="R36" s="5">
        <f>SUM(Q36/(1+0.07)^34)</f>
        <v>11159.609320330617</v>
      </c>
      <c r="S36" s="5">
        <f t="shared" si="26"/>
        <v>1140.6851365082985</v>
      </c>
      <c r="T36" s="5">
        <f t="shared" si="27"/>
        <v>22.885113663129484</v>
      </c>
      <c r="U36" s="5">
        <f t="shared" si="28"/>
        <v>710.73086935728327</v>
      </c>
      <c r="V36" s="5">
        <f>SUM(P36/6*10180/453/2203*89)</f>
        <v>10663.853751912491</v>
      </c>
      <c r="W36" s="5">
        <f t="shared" si="10"/>
        <v>1874.3011195287113</v>
      </c>
      <c r="X36" s="11">
        <f>SUM(V36/(1+0.03)^34)</f>
        <v>3903.4492774889727</v>
      </c>
      <c r="Y36" s="5">
        <f>SUM(W36/(1+0.07)^34)</f>
        <v>187.84122996537579</v>
      </c>
      <c r="Z36" s="5">
        <f t="shared" si="11"/>
        <v>1431.9822363835253</v>
      </c>
      <c r="AA36" s="5">
        <f t="shared" si="12"/>
        <v>908.00981345774323</v>
      </c>
      <c r="AB36" s="5">
        <f t="shared" si="13"/>
        <v>347.90370633889421</v>
      </c>
      <c r="AC36" s="5">
        <f t="shared" si="14"/>
        <v>2687.8957561801626</v>
      </c>
      <c r="AD36" s="5">
        <f>SUM(AC36)/(1+0.07)^34</f>
        <v>269.3791513001662</v>
      </c>
      <c r="AE36" s="5">
        <f t="shared" si="15"/>
        <v>15520.278979085133</v>
      </c>
      <c r="AH36" s="5">
        <f t="shared" si="21"/>
        <v>515776.97089935013</v>
      </c>
      <c r="AI36" s="5">
        <f t="shared" si="18"/>
        <v>343683.97378241766</v>
      </c>
      <c r="AJ36" s="5">
        <v>493125</v>
      </c>
      <c r="AK36" s="5">
        <f t="shared" si="29"/>
        <v>234280.13521862868</v>
      </c>
      <c r="AL36" s="5">
        <f t="shared" si="16"/>
        <v>577964.10900104628</v>
      </c>
      <c r="AM36" s="5">
        <f t="shared" si="1"/>
        <v>1624663.8125242272</v>
      </c>
      <c r="AQ36" s="14">
        <f t="shared" si="19"/>
        <v>5007.0585448802567</v>
      </c>
    </row>
    <row r="37" spans="1:43" x14ac:dyDescent="0.25">
      <c r="B37" s="1"/>
    </row>
    <row r="38" spans="1:43" x14ac:dyDescent="0.25">
      <c r="B38" s="1">
        <f>SUM(B7:B37)</f>
        <v>3805339.093003842</v>
      </c>
      <c r="C38" s="2">
        <f>SUM(C7:C37)</f>
        <v>172969.95877290191</v>
      </c>
      <c r="K38" s="5">
        <f>SUM(K7:K37)</f>
        <v>253101767.87379622</v>
      </c>
      <c r="L38" s="5"/>
      <c r="M38" s="5"/>
      <c r="N38" s="2">
        <f>SUM(N7:N37)</f>
        <v>592442.57507282856</v>
      </c>
      <c r="O38" s="2">
        <f>SUM(O7:O37)</f>
        <v>26929.207957855841</v>
      </c>
      <c r="P38" s="2">
        <f>SUM(P7:P37)</f>
        <v>1346460.3978927918</v>
      </c>
      <c r="Q38" s="5"/>
      <c r="R38" s="5"/>
      <c r="S38" s="5"/>
      <c r="T38" s="5"/>
      <c r="U38" s="5"/>
      <c r="V38" s="5"/>
      <c r="W38" s="5"/>
      <c r="X38" s="11"/>
      <c r="Y38" s="5"/>
      <c r="Z38" s="5"/>
      <c r="AA38" s="5"/>
      <c r="AB38" s="5"/>
      <c r="AC38" s="5">
        <f>SUM(AC7:AC37)</f>
        <v>51248.469554629213</v>
      </c>
      <c r="AD38" s="5">
        <f>SUM(AD7:AD37)</f>
        <v>13317.789371138238</v>
      </c>
      <c r="AE38" s="5">
        <f>SUM(AE7:AE36)</f>
        <v>667011.12052825477</v>
      </c>
      <c r="AG38" s="5">
        <f>SUM(AG5:AG6)</f>
        <v>33419757.563955352</v>
      </c>
      <c r="AH38" s="5">
        <f>SUM(AH7:AH37)</f>
        <v>9110201.2433830965</v>
      </c>
      <c r="AI38" s="5">
        <f>SUM(AI8:AI36)</f>
        <v>6070511.7559318487</v>
      </c>
      <c r="AK38" s="5">
        <f>SUM(AK13:AK37)</f>
        <v>2083270.0348396581</v>
      </c>
      <c r="AL38" s="5">
        <f>SUM(AL7:AL37)</f>
        <v>8153781.7907715058</v>
      </c>
      <c r="AM38" s="5">
        <f>SUM(AM7:AM36)</f>
        <v>61608474.624027006</v>
      </c>
    </row>
    <row r="41" spans="1:43" x14ac:dyDescent="0.25">
      <c r="AF41" s="5" t="s">
        <v>6</v>
      </c>
      <c r="AG41" s="5">
        <f>SUM(0.25*AG38)/(1+0.07)^34</f>
        <v>837326.55075409322</v>
      </c>
    </row>
  </sheetData>
  <pageMargins left="0.7" right="0.7" top="0.75" bottom="0.75" header="0.3" footer="0.3"/>
  <pageSetup scale="52" fitToWidth="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6FDF8-822D-427D-B4CD-362B52DD324B}">
  <sheetPr>
    <pageSetUpPr fitToPage="1"/>
  </sheetPr>
  <dimension ref="A1:B85"/>
  <sheetViews>
    <sheetView topLeftCell="A10" workbookViewId="0">
      <selection activeCell="E36" sqref="E36"/>
    </sheetView>
  </sheetViews>
  <sheetFormatPr defaultRowHeight="15" x14ac:dyDescent="0.25"/>
  <cols>
    <col min="1" max="1" width="11.140625" customWidth="1"/>
  </cols>
  <sheetData>
    <row r="1" spans="1:1" x14ac:dyDescent="0.25">
      <c r="A1" t="s">
        <v>59</v>
      </c>
    </row>
    <row r="2" spans="1:1" x14ac:dyDescent="0.25">
      <c r="A2" t="s">
        <v>60</v>
      </c>
    </row>
    <row r="3" spans="1:1" x14ac:dyDescent="0.25">
      <c r="A3" t="s">
        <v>61</v>
      </c>
    </row>
    <row r="4" spans="1:1" x14ac:dyDescent="0.25">
      <c r="A4" t="s">
        <v>62</v>
      </c>
    </row>
    <row r="5" spans="1:1" x14ac:dyDescent="0.25">
      <c r="A5" t="s">
        <v>10</v>
      </c>
    </row>
    <row r="6" spans="1:1" x14ac:dyDescent="0.25">
      <c r="A6" t="s">
        <v>11</v>
      </c>
    </row>
    <row r="8" spans="1:1" x14ac:dyDescent="0.25">
      <c r="A8" t="s">
        <v>63</v>
      </c>
    </row>
    <row r="9" spans="1:1" x14ac:dyDescent="0.25">
      <c r="A9" t="s">
        <v>39</v>
      </c>
    </row>
    <row r="10" spans="1:1" x14ac:dyDescent="0.25">
      <c r="A10" t="s">
        <v>38</v>
      </c>
    </row>
    <row r="11" spans="1:1" x14ac:dyDescent="0.25">
      <c r="A11" t="s">
        <v>45</v>
      </c>
    </row>
    <row r="12" spans="1:1" x14ac:dyDescent="0.25">
      <c r="A12" t="s">
        <v>64</v>
      </c>
    </row>
    <row r="13" spans="1:1" x14ac:dyDescent="0.25">
      <c r="A13" t="s">
        <v>20</v>
      </c>
    </row>
    <row r="14" spans="1:1" x14ac:dyDescent="0.25">
      <c r="A14" t="s">
        <v>21</v>
      </c>
    </row>
    <row r="15" spans="1:1" x14ac:dyDescent="0.25">
      <c r="A15" t="s">
        <v>41</v>
      </c>
    </row>
    <row r="16" spans="1:1" x14ac:dyDescent="0.25">
      <c r="A16" t="s">
        <v>46</v>
      </c>
    </row>
    <row r="17" spans="1:1" x14ac:dyDescent="0.25">
      <c r="A17" t="s">
        <v>47</v>
      </c>
    </row>
    <row r="18" spans="1:1" x14ac:dyDescent="0.25">
      <c r="A18" t="s">
        <v>36</v>
      </c>
    </row>
    <row r="20" spans="1:1" x14ac:dyDescent="0.25">
      <c r="A20" t="s">
        <v>12</v>
      </c>
    </row>
    <row r="21" spans="1:1" x14ac:dyDescent="0.25">
      <c r="A21" t="s">
        <v>13</v>
      </c>
    </row>
    <row r="22" spans="1:1" x14ac:dyDescent="0.25">
      <c r="A22" t="s">
        <v>14</v>
      </c>
    </row>
    <row r="23" spans="1:1" x14ac:dyDescent="0.25">
      <c r="A23" t="s">
        <v>15</v>
      </c>
    </row>
    <row r="24" spans="1:1" x14ac:dyDescent="0.25">
      <c r="A24" t="s">
        <v>37</v>
      </c>
    </row>
    <row r="27" spans="1:1" x14ac:dyDescent="0.25">
      <c r="A27" t="s">
        <v>16</v>
      </c>
    </row>
    <row r="28" spans="1:1" x14ac:dyDescent="0.25">
      <c r="A28" t="s">
        <v>17</v>
      </c>
    </row>
    <row r="29" spans="1:1" x14ac:dyDescent="0.25">
      <c r="A29" t="s">
        <v>55</v>
      </c>
    </row>
    <row r="30" spans="1:1" x14ac:dyDescent="0.25">
      <c r="A30" t="s">
        <v>40</v>
      </c>
    </row>
    <row r="31" spans="1:1" x14ac:dyDescent="0.25">
      <c r="A31" t="s">
        <v>18</v>
      </c>
    </row>
    <row r="32" spans="1:1" x14ac:dyDescent="0.25">
      <c r="A32" t="s">
        <v>19</v>
      </c>
    </row>
    <row r="35" spans="1:2" x14ac:dyDescent="0.25">
      <c r="A35" t="s">
        <v>65</v>
      </c>
    </row>
    <row r="36" spans="1:2" x14ac:dyDescent="0.25">
      <c r="A36" t="s">
        <v>160</v>
      </c>
    </row>
    <row r="37" spans="1:2" x14ac:dyDescent="0.25">
      <c r="A37" t="s">
        <v>51</v>
      </c>
    </row>
    <row r="38" spans="1:2" x14ac:dyDescent="0.25">
      <c r="A38" t="s">
        <v>66</v>
      </c>
    </row>
    <row r="40" spans="1:2" x14ac:dyDescent="0.25">
      <c r="A40" t="s">
        <v>67</v>
      </c>
    </row>
    <row r="41" spans="1:2" x14ac:dyDescent="0.25">
      <c r="A41" t="s">
        <v>69</v>
      </c>
      <c r="B41" t="s">
        <v>70</v>
      </c>
    </row>
    <row r="42" spans="1:2" x14ac:dyDescent="0.25">
      <c r="A42" t="s">
        <v>71</v>
      </c>
      <c r="B42" t="s">
        <v>72</v>
      </c>
    </row>
    <row r="43" spans="1:2" x14ac:dyDescent="0.25">
      <c r="A43" t="s">
        <v>68</v>
      </c>
      <c r="B43" t="s">
        <v>74</v>
      </c>
    </row>
    <row r="44" spans="1:2" x14ac:dyDescent="0.25">
      <c r="A44" t="s">
        <v>73</v>
      </c>
      <c r="B44" t="s">
        <v>75</v>
      </c>
    </row>
    <row r="45" spans="1:2" x14ac:dyDescent="0.25">
      <c r="A45" t="s">
        <v>76</v>
      </c>
      <c r="B45" t="s">
        <v>77</v>
      </c>
    </row>
    <row r="46" spans="1:2" x14ac:dyDescent="0.25">
      <c r="B46" s="12" t="s">
        <v>78</v>
      </c>
    </row>
    <row r="47" spans="1:2" x14ac:dyDescent="0.25">
      <c r="B47" t="s">
        <v>79</v>
      </c>
    </row>
    <row r="48" spans="1:2" x14ac:dyDescent="0.25">
      <c r="B48" s="13" t="s">
        <v>80</v>
      </c>
    </row>
    <row r="49" spans="1:2" x14ac:dyDescent="0.25">
      <c r="B49" t="s">
        <v>81</v>
      </c>
    </row>
    <row r="50" spans="1:2" x14ac:dyDescent="0.25">
      <c r="A50" t="s">
        <v>82</v>
      </c>
      <c r="B50" t="s">
        <v>83</v>
      </c>
    </row>
    <row r="51" spans="1:2" x14ac:dyDescent="0.25">
      <c r="A51" t="s">
        <v>84</v>
      </c>
      <c r="B51" t="s">
        <v>88</v>
      </c>
    </row>
    <row r="52" spans="1:2" x14ac:dyDescent="0.25">
      <c r="A52" t="s">
        <v>85</v>
      </c>
      <c r="B52" t="s">
        <v>89</v>
      </c>
    </row>
    <row r="53" spans="1:2" x14ac:dyDescent="0.25">
      <c r="A53" t="s">
        <v>86</v>
      </c>
      <c r="B53" t="s">
        <v>87</v>
      </c>
    </row>
    <row r="54" spans="1:2" x14ac:dyDescent="0.25">
      <c r="A54" t="s">
        <v>90</v>
      </c>
      <c r="B54" t="s">
        <v>94</v>
      </c>
    </row>
    <row r="55" spans="1:2" x14ac:dyDescent="0.25">
      <c r="A55" t="s">
        <v>91</v>
      </c>
      <c r="B55" t="s">
        <v>95</v>
      </c>
    </row>
    <row r="56" spans="1:2" x14ac:dyDescent="0.25">
      <c r="A56" t="s">
        <v>92</v>
      </c>
      <c r="B56" t="s">
        <v>93</v>
      </c>
    </row>
    <row r="57" spans="1:2" x14ac:dyDescent="0.25">
      <c r="A57" t="s">
        <v>96</v>
      </c>
      <c r="B57" t="s">
        <v>97</v>
      </c>
    </row>
    <row r="58" spans="1:2" x14ac:dyDescent="0.25">
      <c r="A58" t="s">
        <v>98</v>
      </c>
      <c r="B58" t="s">
        <v>99</v>
      </c>
    </row>
    <row r="59" spans="1:2" x14ac:dyDescent="0.25">
      <c r="A59" t="s">
        <v>100</v>
      </c>
      <c r="B59" t="s">
        <v>102</v>
      </c>
    </row>
    <row r="60" spans="1:2" x14ac:dyDescent="0.25">
      <c r="A60" t="s">
        <v>101</v>
      </c>
      <c r="B60" t="s">
        <v>103</v>
      </c>
    </row>
    <row r="61" spans="1:2" x14ac:dyDescent="0.25">
      <c r="A61" t="s">
        <v>104</v>
      </c>
      <c r="B61" t="s">
        <v>105</v>
      </c>
    </row>
    <row r="62" spans="1:2" x14ac:dyDescent="0.25">
      <c r="A62" t="s">
        <v>106</v>
      </c>
      <c r="B62" t="s">
        <v>107</v>
      </c>
    </row>
    <row r="63" spans="1:2" x14ac:dyDescent="0.25">
      <c r="A63" t="s">
        <v>108</v>
      </c>
      <c r="B63" t="s">
        <v>109</v>
      </c>
    </row>
    <row r="64" spans="1:2" x14ac:dyDescent="0.25">
      <c r="A64" t="s">
        <v>110</v>
      </c>
      <c r="B64" t="s">
        <v>111</v>
      </c>
    </row>
    <row r="65" spans="1:2" x14ac:dyDescent="0.25">
      <c r="A65" t="s">
        <v>112</v>
      </c>
      <c r="B65" t="s">
        <v>113</v>
      </c>
    </row>
    <row r="66" spans="1:2" x14ac:dyDescent="0.25">
      <c r="A66" t="s">
        <v>114</v>
      </c>
      <c r="B66" t="s">
        <v>118</v>
      </c>
    </row>
    <row r="67" spans="1:2" x14ac:dyDescent="0.25">
      <c r="A67" t="s">
        <v>115</v>
      </c>
      <c r="B67" t="s">
        <v>119</v>
      </c>
    </row>
    <row r="68" spans="1:2" x14ac:dyDescent="0.25">
      <c r="A68" t="s">
        <v>116</v>
      </c>
      <c r="B68" t="s">
        <v>117</v>
      </c>
    </row>
    <row r="69" spans="1:2" x14ac:dyDescent="0.25">
      <c r="A69" t="s">
        <v>120</v>
      </c>
      <c r="B69" t="s">
        <v>121</v>
      </c>
    </row>
    <row r="70" spans="1:2" x14ac:dyDescent="0.25">
      <c r="A70" t="s">
        <v>122</v>
      </c>
      <c r="B70" t="s">
        <v>123</v>
      </c>
    </row>
    <row r="71" spans="1:2" x14ac:dyDescent="0.25">
      <c r="A71" t="s">
        <v>124</v>
      </c>
      <c r="B71" t="s">
        <v>125</v>
      </c>
    </row>
    <row r="72" spans="1:2" x14ac:dyDescent="0.25">
      <c r="A72" t="s">
        <v>126</v>
      </c>
      <c r="B72" t="s">
        <v>127</v>
      </c>
    </row>
    <row r="73" spans="1:2" x14ac:dyDescent="0.25">
      <c r="A73" t="s">
        <v>128</v>
      </c>
      <c r="B73" t="s">
        <v>129</v>
      </c>
    </row>
    <row r="74" spans="1:2" x14ac:dyDescent="0.25">
      <c r="A74" t="s">
        <v>130</v>
      </c>
      <c r="B74" t="s">
        <v>131</v>
      </c>
    </row>
    <row r="75" spans="1:2" x14ac:dyDescent="0.25">
      <c r="A75" t="s">
        <v>132</v>
      </c>
      <c r="B75" t="s">
        <v>161</v>
      </c>
    </row>
    <row r="76" spans="1:2" x14ac:dyDescent="0.25">
      <c r="A76" t="s">
        <v>147</v>
      </c>
      <c r="B76" t="s">
        <v>139</v>
      </c>
    </row>
    <row r="77" spans="1:2" x14ac:dyDescent="0.25">
      <c r="A77" t="s">
        <v>145</v>
      </c>
      <c r="B77" t="s">
        <v>146</v>
      </c>
    </row>
    <row r="78" spans="1:2" x14ac:dyDescent="0.25">
      <c r="A78" t="s">
        <v>135</v>
      </c>
      <c r="B78" t="s">
        <v>148</v>
      </c>
    </row>
    <row r="79" spans="1:2" x14ac:dyDescent="0.25">
      <c r="A79" t="s">
        <v>149</v>
      </c>
      <c r="B79" t="s">
        <v>152</v>
      </c>
    </row>
    <row r="80" spans="1:2" x14ac:dyDescent="0.25">
      <c r="A80" t="s">
        <v>150</v>
      </c>
      <c r="B80" t="s">
        <v>151</v>
      </c>
    </row>
    <row r="81" spans="1:2" x14ac:dyDescent="0.25">
      <c r="A81" t="s">
        <v>153</v>
      </c>
      <c r="B81" t="s">
        <v>154</v>
      </c>
    </row>
    <row r="82" spans="1:2" x14ac:dyDescent="0.25">
      <c r="A82" t="s">
        <v>155</v>
      </c>
      <c r="B82" t="s">
        <v>133</v>
      </c>
    </row>
    <row r="83" spans="1:2" x14ac:dyDescent="0.25">
      <c r="A83" t="s">
        <v>156</v>
      </c>
      <c r="B83" t="s">
        <v>134</v>
      </c>
    </row>
    <row r="84" spans="1:2" x14ac:dyDescent="0.25">
      <c r="A84" t="s">
        <v>157</v>
      </c>
      <c r="B84" t="s">
        <v>136</v>
      </c>
    </row>
    <row r="85" spans="1:2" x14ac:dyDescent="0.25">
      <c r="A85" t="s">
        <v>158</v>
      </c>
      <c r="B85" t="s">
        <v>137</v>
      </c>
    </row>
  </sheetData>
  <hyperlinks>
    <hyperlink ref="B48" r:id="rId1" display="http://faa.gov/regulations_policies/policy_guidance/media/econ-value-section-4-op-costs.pdf" xr:uid="{2054C90A-DE83-46E8-911A-15D607601502}"/>
  </hyperlinks>
  <pageMargins left="0.7" right="0.7" top="0.75" bottom="0.75" header="0.3" footer="0.3"/>
  <pageSetup scale="4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BCA</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Lindholm</dc:creator>
  <cp:lastModifiedBy>William Walker</cp:lastModifiedBy>
  <cp:lastPrinted>2022-03-31T20:26:27Z</cp:lastPrinted>
  <dcterms:created xsi:type="dcterms:W3CDTF">2021-05-12T19:38:12Z</dcterms:created>
  <dcterms:modified xsi:type="dcterms:W3CDTF">2022-04-13T21:42:34Z</dcterms:modified>
</cp:coreProperties>
</file>